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firstSheet="1" activeTab="1"/>
  </bookViews>
  <sheets>
    <sheet name="รับจ่าย" sheetId="1" r:id="rId1"/>
    <sheet name="งบแสดงฐานะการเงิน" sheetId="2" r:id="rId2"/>
    <sheet name="งบทรัพย์สิน" sheetId="3" r:id="rId3"/>
    <sheet name="สำรอง" sheetId="4" r:id="rId4"/>
    <sheet name="ทดลองหลังปิด" sheetId="5" r:id="rId5"/>
    <sheet name="ทดลอง" sheetId="6" r:id="rId6"/>
    <sheet name="1" sheetId="7" r:id="rId7"/>
    <sheet name="2" sheetId="8" r:id="rId8"/>
    <sheet name="3" sheetId="9" r:id="rId9"/>
    <sheet name="4" sheetId="10" r:id="rId10"/>
    <sheet name="5" sheetId="11" r:id="rId11"/>
    <sheet name="สำรองรายรับ" sheetId="12" r:id="rId12"/>
    <sheet name="รับ-จ่าย ก.ย." sheetId="13" r:id="rId13"/>
    <sheet name="รับจ่าย งส." sheetId="14" r:id="rId14"/>
    <sheet name="กระทบยอด" sheetId="15" r:id="rId15"/>
    <sheet name="รับจ่าย พ.ค." sheetId="16" r:id="rId16"/>
    <sheet name="Sheet1" sheetId="17" r:id="rId17"/>
    <sheet name="Sheet3" sheetId="18" r:id="rId18"/>
  </sheets>
  <externalReferences>
    <externalReference r:id="rId21"/>
  </externalReferences>
  <definedNames>
    <definedName name="_xlfn.BAHTTEXT" hidden="1">#NAME?</definedName>
    <definedName name="_xlnm.Print_Titles" localSheetId="2">'งบทรัพย์สิน'!$1:$5</definedName>
  </definedNames>
  <calcPr fullCalcOnLoad="1"/>
</workbook>
</file>

<file path=xl/sharedStrings.xml><?xml version="1.0" encoding="utf-8"?>
<sst xmlns="http://schemas.openxmlformats.org/spreadsheetml/2006/main" count="2282" uniqueCount="469">
  <si>
    <t>องค์การบริหารส่วนตำบลเขาน้อย  อำเภอสิชล  จังหวัดนครศรีธรรมราช</t>
  </si>
  <si>
    <t xml:space="preserve">งบทดลอง </t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</si>
  <si>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</si>
  <si>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</si>
  <si>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</si>
  <si>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</si>
  <si>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</si>
  <si>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เงินฝากธนาคารกรุงไทย-กระแสรายวัน (อบต.)</t>
  </si>
  <si>
    <t>เงินฝากธนาคาร-ออมทรัพย์ (อบต.)</t>
  </si>
  <si>
    <t>เงินฝากธนาคาร-ออมทรัพย์ (ศก.ชุมชน)</t>
  </si>
  <si>
    <t>ลูกหนี้เงินยืมเงินงบประมาณ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</si>
  <si>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</si>
  <si>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</si>
  <si>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</si>
  <si>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</si>
  <si>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</si>
  <si>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</si>
  <si>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</si>
  <si>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</si>
  <si>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</si>
  <si>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</si>
  <si>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</si>
  <si>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งบกลาง</t>
  </si>
  <si>
    <t>รายจ่ายค้างจ่าย (เงินอุดหนุนทั่วไปที่ระบุวัตถุประสงค์) (หม.4)</t>
  </si>
  <si>
    <t>รายจ่ายค้างจ่าย  (หมายเหตุ  3)</t>
  </si>
  <si>
    <t>รายรับ (หมายเหตุ 1)</t>
  </si>
  <si>
    <t>เงินรับฝาก (หมายเหตุ 2)</t>
  </si>
  <si>
    <t>เงินทุนสำรองเงินสะสม</t>
  </si>
  <si>
    <t>สำรองเงินรายรับ</t>
  </si>
  <si>
    <t>เงินอุดหนุนทั่วไป -ต้องตราข้อบัญญัติ</t>
  </si>
  <si>
    <t>เงินสะสม</t>
  </si>
  <si>
    <t>ภาษีโรงเรือนและที่ดิน</t>
  </si>
  <si>
    <t>ภาษีบำรุงท้องที่</t>
  </si>
  <si>
    <t>อากรฆ่าสัตว์</t>
  </si>
  <si>
    <t>ค่าธรรมเนียมการพนันเพิ่ม</t>
  </si>
  <si>
    <t>ค่าปรับการผิดสัญญา</t>
  </si>
  <si>
    <t>ค่าธรรมเนียมรถยนต์และล้อเลื่อน</t>
  </si>
  <si>
    <t>ภาษีสรรพสามิต</t>
  </si>
  <si>
    <t>ภาษีมูลค่าเพิ่ม -ตามแผนการกระจายอำนาจ</t>
  </si>
  <si>
    <t>ภาษีมูลค่าเพิ่ม - 1 :  9</t>
  </si>
  <si>
    <t>ภาษีสุรา</t>
  </si>
  <si>
    <t>ภาษีธุรกิจเฉพาะ</t>
  </si>
  <si>
    <t>ค่าภาคหลวงแร่</t>
  </si>
  <si>
    <t>ค่าภาคหลวงปิโตรเลียม</t>
  </si>
  <si>
    <t>ค่าจดทะเบียนสิทธิและนิติกรรมที่ดิน</t>
  </si>
  <si>
    <t>ดอกเบี้ยรับ</t>
  </si>
  <si>
    <t>ค่าขายแบบแปลน</t>
  </si>
  <si>
    <t>ค่าเช่าหรือให้บริการสถานที่</t>
  </si>
  <si>
    <t>รายได้เบ็ดเตล็ด</t>
  </si>
  <si>
    <t>รับเดิม</t>
  </si>
  <si>
    <t>รับเพิ่ม</t>
  </si>
  <si>
    <t>คงเหลือ</t>
  </si>
  <si>
    <t>ยอดยกมา</t>
  </si>
  <si>
    <t>รับ</t>
  </si>
  <si>
    <t>จ่าย</t>
  </si>
  <si>
    <t>ภาษีหัก  ณ ที่จ่าย</t>
  </si>
  <si>
    <t>เงินมัดจำประกันสัญญา</t>
  </si>
  <si>
    <t>ค่าใช้จ่ายส่วนกลาง 5%</t>
  </si>
  <si>
    <t>ส่วนลดผู้ใหญ่กำนัน 6%</t>
  </si>
  <si>
    <t>เงินทุนโครงการเศรษฐกิจชุมชน</t>
  </si>
  <si>
    <t>เงินสมทบกองทุนประกันสังคม</t>
  </si>
  <si>
    <t>ที่</t>
  </si>
  <si>
    <t>เบิกจ่าย</t>
  </si>
  <si>
    <t>เงินอนุมัติ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</si>
  <si>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</si>
  <si>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</si>
  <si>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</si>
  <si>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</si>
  <si>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</si>
  <si>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</si>
  <si>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</si>
  <si>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</si>
  <si>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</si>
  <si>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</si>
  <si>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เงินอุดหนุนทั่วไป (ถ่ายโอน 47) -ไฟป่า</t>
  </si>
  <si>
    <r>
      <t xml:space="preserve">รายรับ  </t>
    </r>
    <r>
      <rPr>
        <b/>
        <sz val="16"/>
        <rFont val="Cordia New"/>
        <family val="2"/>
      </rPr>
      <t xml:space="preserve">    หมายเหตุประกอบงบทดลอง 1</t>
    </r>
  </si>
  <si>
    <r>
      <t xml:space="preserve">เงินรับฝาก </t>
    </r>
    <r>
      <rPr>
        <b/>
        <sz val="16"/>
        <rFont val="Cordia New"/>
        <family val="2"/>
      </rPr>
      <t xml:space="preserve">    หมายเหตุประกอบงบทดลอง 2</t>
    </r>
  </si>
  <si>
    <r>
      <t>รายจ่ายค้างจ่าย</t>
    </r>
    <r>
      <rPr>
        <b/>
        <sz val="16"/>
        <rFont val="Cordia New"/>
        <family val="2"/>
      </rPr>
      <t xml:space="preserve">  หมายเหตุประกอบงบทดลอง 3</t>
    </r>
  </si>
  <si>
    <r>
      <t xml:space="preserve">รายจ่ายค้างจ่าย(เงินอุดหนุนที่ระบุวัตถุประสงค์) </t>
    </r>
    <r>
      <rPr>
        <b/>
        <sz val="16"/>
        <rFont val="Cordia New"/>
        <family val="2"/>
      </rPr>
      <t xml:space="preserve">  หมายเหตุประกอบงบทดลอง 4</t>
    </r>
  </si>
  <si>
    <t>ประเภท</t>
  </si>
  <si>
    <t>ประจำเดือน</t>
  </si>
  <si>
    <t>หมายเหตุ</t>
  </si>
  <si>
    <t>อาหารเสริม (นม)</t>
  </si>
  <si>
    <t>อาหารกลางวันโรงเรียน</t>
  </si>
  <si>
    <t>อาหารกลางวัน ศพด.</t>
  </si>
  <si>
    <t>อาหารกลางวัน ศดว.</t>
  </si>
  <si>
    <t>ค่าพาหนะ  ศพด.</t>
  </si>
  <si>
    <t>ค่าพาหนะ  ศดว.</t>
  </si>
  <si>
    <t>ค่าวัสดุการศึกษา ศพด.</t>
  </si>
  <si>
    <t>ค่าวัสดุการศึกษา ศดว.</t>
  </si>
  <si>
    <t>ค่าตอบแทนครู</t>
  </si>
  <si>
    <t>เงินสมทบกองทุนประกันฯ</t>
  </si>
  <si>
    <t>เบี้ยยังชีพผู้สูงอายุ</t>
  </si>
  <si>
    <t>เบี้ยยังชีพคนพิการ</t>
  </si>
  <si>
    <t>สาธารณสุขมูลฐาน</t>
  </si>
  <si>
    <t>รวม</t>
  </si>
  <si>
    <r>
      <t xml:space="preserve">รายรับ  </t>
    </r>
    <r>
      <rPr>
        <b/>
        <sz val="16"/>
        <rFont val="Cordia New"/>
        <family val="2"/>
      </rPr>
      <t>(เงินอุดหนุนทั่วไป  -  ระบุวัตถุประสงค์)   หมายเหตุประกอบงบทดลอง  5</t>
    </r>
  </si>
  <si>
    <r>
      <t xml:space="preserve">รายจ่าย  </t>
    </r>
    <r>
      <rPr>
        <b/>
        <sz val="16"/>
        <rFont val="Cordia New"/>
        <family val="2"/>
      </rPr>
      <t>(เงินอุดหนุนทั่วไป  -  ระบุวัตถุประสงค์)   หมายเหตุประกอบงบทดลอง  5</t>
    </r>
  </si>
  <si>
    <r>
      <t xml:space="preserve">คงเหลือ  </t>
    </r>
    <r>
      <rPr>
        <b/>
        <sz val="16"/>
        <rFont val="Cordia New"/>
        <family val="2"/>
      </rPr>
      <t>(เงินอุดหนุนทั่วไป  -  ระบุวัตถุประสงค์)   หมายเหตุประกอบงบทดลอง  5</t>
    </r>
  </si>
  <si>
    <t>โครงการส่งเสริมกิจกรรมกลุ่มสตรี</t>
  </si>
  <si>
    <t>เงินอุดหนุนทั่วไป -ระบุวัตถุประสงค์ (ถ่ายโอน 49) (หม.5)</t>
  </si>
  <si>
    <t>เงินยืมเงินสะสม</t>
  </si>
  <si>
    <t>ชื่อ องค์การบริหารส่วนตำบลเขาน้อย</t>
  </si>
  <si>
    <t>อำเภอสิชล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</si>
  <si>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</si>
  <si>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</si>
  <si>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</si>
  <si>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(บาท)</t>
  </si>
  <si>
    <t>เกิดขึ้นจริง</t>
  </si>
  <si>
    <t>รหัส</t>
  </si>
  <si>
    <t>บัญชี</t>
  </si>
  <si>
    <t>เดือนนี้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</si>
  <si>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</si>
  <si>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</si>
  <si>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</si>
  <si>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</si>
  <si>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ภาษีจัดสรร</t>
  </si>
  <si>
    <t>รายจ่ายค้างจ่าย (เงินอุดหนุนทั่วไปที่ระบุวัตถุประสงค์)</t>
  </si>
  <si>
    <t>เงินรับฝาก   (หมายเหตุ 2)</t>
  </si>
  <si>
    <r>
      <t>รายรับ</t>
    </r>
    <r>
      <rPr>
        <b/>
        <sz val="14"/>
        <rFont val="Cordia New"/>
        <family val="2"/>
      </rPr>
      <t xml:space="preserve"> </t>
    </r>
    <r>
      <rPr>
        <sz val="14"/>
        <rFont val="Cordia New"/>
        <family val="0"/>
      </rPr>
      <t>(หมายเหตุ 1)</t>
    </r>
  </si>
  <si>
    <t>รายจ่าย</t>
  </si>
  <si>
    <t>รายจ่ายอื่น</t>
  </si>
  <si>
    <t>รายจ่ายค้างจ่าย (หมายเหตุ 3)</t>
  </si>
  <si>
    <t>รายจ่ายค้างจ่าย  (หมายเหตุ 3)</t>
  </si>
  <si>
    <t>เงินอุดหนุนทั่วไป 2549 (ระบุวัตถุประสงค์) (หม. 5)</t>
  </si>
  <si>
    <t>รวมรายจ่าย</t>
  </si>
  <si>
    <t>สูงกว่า</t>
  </si>
  <si>
    <t>รายรับ                                               รายจ่าย</t>
  </si>
  <si>
    <t>(ต่ำกว่า)</t>
  </si>
  <si>
    <t>ยอดยกไป</t>
  </si>
  <si>
    <t>0100</t>
  </si>
  <si>
    <t>0120</t>
  </si>
  <si>
    <t>0200</t>
  </si>
  <si>
    <t>0250</t>
  </si>
  <si>
    <t>0300</t>
  </si>
  <si>
    <t>1000</t>
  </si>
  <si>
    <t>2000</t>
  </si>
  <si>
    <t>3002</t>
  </si>
  <si>
    <t>090</t>
  </si>
  <si>
    <t>ลูกหนี้เงินยืมเงินงบประมาณ (เป็นหนี้)</t>
  </si>
  <si>
    <t>ลูกหนี้เงินยืมเงินงบประมาณ (ล้างหนี้)</t>
  </si>
  <si>
    <t>000</t>
  </si>
  <si>
    <t>(นายศุภโชค  พัดฉิม)</t>
  </si>
  <si>
    <t xml:space="preserve">         นายก อบต.</t>
  </si>
  <si>
    <t xml:space="preserve">          หัวหน้าส่วนการคลัง</t>
  </si>
  <si>
    <t xml:space="preserve">                            ปลัด  อบต.</t>
  </si>
  <si>
    <t>ภาษีป้าย</t>
  </si>
  <si>
    <t>เงินอุดหนุนเสริมสร้างพัฒนาการ</t>
  </si>
  <si>
    <t xml:space="preserve">   (นางลัดดาวัลย์  ศิริสมบัติ)                                                 (นายสุเทพ  สมทรัพย์)                                                  (นายศุภโชค  พัดฉิม)</t>
  </si>
  <si>
    <t xml:space="preserve">  นายก อบต.</t>
  </si>
  <si>
    <t>อบต.เขาน้อย  อ.สิชล  จ. นครศรีธรรมราช</t>
  </si>
  <si>
    <t>งบกระทบยอดเงินฝากธนาคาร</t>
  </si>
  <si>
    <t>เลขที่บัญชี</t>
  </si>
  <si>
    <t>315 - 2 - 36479 - 9</t>
  </si>
  <si>
    <t>บาท</t>
  </si>
  <si>
    <t>บวก</t>
  </si>
  <si>
    <t>เงินฝากระหว่างทาง</t>
  </si>
  <si>
    <t>วันที่ลงบัญชี</t>
  </si>
  <si>
    <t>วันที่ฝากธนาคาร</t>
  </si>
  <si>
    <t>จำนวนเงิน</t>
  </si>
  <si>
    <t>-</t>
  </si>
  <si>
    <t>เช็คจ่ายที่ผู้รับยังไม่นำมาขึ้นเงินกับธนาคาร     จำนวน</t>
  </si>
  <si>
    <t>ฉบับ</t>
  </si>
  <si>
    <t>วันที่</t>
  </si>
  <si>
    <t>เลขที่เช็ค</t>
  </si>
  <si>
    <t>หรือ (หัก) รายการกระทบยอดอื่น ๆ</t>
  </si>
  <si>
    <t>รายละเอียด</t>
  </si>
  <si>
    <t>ผู้จัดทำ</t>
  </si>
  <si>
    <t>ผู้ตรวจสอบ</t>
  </si>
  <si>
    <t xml:space="preserve">                (นางลัดดาวัลย์  ศิริสมบัติ)</t>
  </si>
  <si>
    <t xml:space="preserve">                     หัวหน้าส่วนการคลัง</t>
  </si>
  <si>
    <t xml:space="preserve">ยอดคงเหลือตามบัญชี ณ วันที่   </t>
  </si>
  <si>
    <r>
      <t xml:space="preserve">ยอดเงินคงเหลือตามรายงานธนาคาร ณ วันที่ </t>
    </r>
  </si>
  <si>
    <r>
      <t xml:space="preserve">ธนาคาร </t>
    </r>
    <r>
      <rPr>
        <sz val="14"/>
        <rFont val="AngsanaUPC"/>
        <family val="1"/>
      </rPr>
      <t xml:space="preserve"> เพื่อการเกษตรและสหกรณ์การเกษตร จำกัด </t>
    </r>
  </si>
  <si>
    <r>
      <t>หัก</t>
    </r>
    <r>
      <rPr>
        <b/>
        <sz val="14"/>
        <rFont val="AngsanaUPC"/>
        <family val="1"/>
      </rPr>
      <t xml:space="preserve"> :</t>
    </r>
  </si>
  <si>
    <r>
      <t>บวก</t>
    </r>
    <r>
      <rPr>
        <b/>
        <sz val="14"/>
        <rFont val="AngsanaUPC"/>
        <family val="1"/>
      </rPr>
      <t>:</t>
    </r>
  </si>
  <si>
    <t>ภาระผูกพันธนาคารออมสิน</t>
  </si>
  <si>
    <t>เงินอุดหนุนทั่วไป (ถ่ายโอน 49) -อาหารเสริม (นม) รร.บ้านสำนักเนียน</t>
  </si>
  <si>
    <t>เงินอุดหนุนทั่วไป (ถ่ายโอน 49) -อาหารกลางวัน รร.บ้านสำนักเนียน</t>
  </si>
  <si>
    <t>เงินอุดหนุนทั่วไป (ถ่ายโอน 49) -อาหารกลางวัน ศพด.</t>
  </si>
  <si>
    <t>เงินอุดหนุนทั่วไป (ถ่ายโอน 49) -ค่าพาหนะ ศพด.</t>
  </si>
  <si>
    <t>เงินอุดหนุนทั่วไป (ถ่ายโอน 49) -ค่าพาหนะ ศดว.</t>
  </si>
  <si>
    <t>ค่าคำขอและใบอนุญาตบ่อบาดาล</t>
  </si>
  <si>
    <t xml:space="preserve">       ส่วนการคลังได้จัดทำงบทดลองประจำเดือน</t>
  </si>
  <si>
    <t>การรับเงินการเบิกจ่ายเงิน ข้อ 99  เห็นควรนำ</t>
  </si>
  <si>
    <t>เสนอนายกอบต. และส่งสำเนานายอำเภอทราบ</t>
  </si>
  <si>
    <t>(ลงชื่อ)                                                             (ลงชื่อ)</t>
  </si>
  <si>
    <t xml:space="preserve">                    (ลงชื่อ)</t>
  </si>
  <si>
    <t xml:space="preserve">               (นางลัดดาวัลย์  ศิริสมบัติ)                                             (นายสุเทพ  สมทรัพย์)                                           </t>
  </si>
  <si>
    <t xml:space="preserve">                    หัวหน้าส่วนการคลัง                                                            ปลัด อบต.</t>
  </si>
  <si>
    <r>
      <t xml:space="preserve">เรียน </t>
    </r>
    <r>
      <rPr>
        <sz val="14"/>
        <color indexed="8"/>
        <rFont val="Cordia New"/>
        <family val="2"/>
      </rPr>
      <t xml:space="preserve"> ปลัดองค์การบริหารส่วนตำบล                              </t>
    </r>
    <r>
      <rPr>
        <b/>
        <sz val="14"/>
        <color indexed="8"/>
        <rFont val="Cordia New"/>
        <family val="2"/>
      </rPr>
      <t>เรียน</t>
    </r>
    <r>
      <rPr>
        <sz val="14"/>
        <color indexed="8"/>
        <rFont val="Cordia New"/>
        <family val="2"/>
      </rPr>
      <t xml:space="preserve">  นายก อบต.เขาน้อย</t>
    </r>
  </si>
  <si>
    <t>010</t>
  </si>
  <si>
    <t>021/3</t>
  </si>
  <si>
    <t>022/1</t>
  </si>
  <si>
    <t>022/2</t>
  </si>
  <si>
    <t>ปีงบประมาณ   2550</t>
  </si>
  <si>
    <t>ภาษีมูลค่าเพิ่ม</t>
  </si>
  <si>
    <t>ตค. 49</t>
  </si>
  <si>
    <t>พย. 49</t>
  </si>
  <si>
    <t>ธค. 49</t>
  </si>
  <si>
    <t>มค. 50</t>
  </si>
  <si>
    <t>กพ. 50</t>
  </si>
  <si>
    <t>มีค. 50</t>
  </si>
  <si>
    <t>เมย.50</t>
  </si>
  <si>
    <t>พค. 50</t>
  </si>
  <si>
    <t>มิย.50</t>
  </si>
  <si>
    <t>กค.50</t>
  </si>
  <si>
    <t>สค.50</t>
  </si>
  <si>
    <t>กย.50</t>
  </si>
  <si>
    <t>อาหารกลางวัน ศพด.อบต</t>
  </si>
  <si>
    <t xml:space="preserve"> </t>
  </si>
  <si>
    <t xml:space="preserve">   (นางลัดดาวัลย์  ศิริสมบัติ)                                                 (นายสุเทพ  สมทรัพย์)                                 (นายศุภโชค  พัดฉิม)</t>
  </si>
  <si>
    <t xml:space="preserve">           นายก อบต.</t>
  </si>
  <si>
    <t>มีนาคม  2550  แล้วเสร็จตามระเบียบกท.ว่าด้วย</t>
  </si>
  <si>
    <t>…….</t>
  </si>
  <si>
    <t>ประจำปีงบประมาณ 2550 ณ วันที่  9  เมษายน  2550</t>
  </si>
  <si>
    <t>ณ วันที่   28  กุมภาพันธ์  2550</t>
  </si>
  <si>
    <t>กุมภาพันธ์  2550  แล้วเสร็จตามระเบียบกท.ว่าด้วย</t>
  </si>
  <si>
    <r>
      <t xml:space="preserve">เรียน </t>
    </r>
    <r>
      <rPr>
        <sz val="13"/>
        <color indexed="8"/>
        <rFont val="Cordia New"/>
        <family val="2"/>
      </rPr>
      <t xml:space="preserve"> ปลัดองค์การบริหารส่วนตำบล                              </t>
    </r>
    <r>
      <rPr>
        <b/>
        <sz val="13"/>
        <color indexed="8"/>
        <rFont val="Cordia New"/>
        <family val="2"/>
      </rPr>
      <t>เรียน</t>
    </r>
    <r>
      <rPr>
        <sz val="13"/>
        <color indexed="8"/>
        <rFont val="Cordia New"/>
        <family val="2"/>
      </rPr>
      <t xml:space="preserve">  นายก อบต.เขาน้อย</t>
    </r>
  </si>
  <si>
    <t xml:space="preserve">   </t>
  </si>
  <si>
    <t>ประจำเดือน   มกราคม  2550 (ฉบับแก้ไข วันที่  12 เม.ย. 50))</t>
  </si>
  <si>
    <t>จ่ายจากบัญชีสำรองเงินรายรับ  หมายเหตุประกอบงบทดลอง 6</t>
  </si>
  <si>
    <t>ประจำเดือน  กุมภาพันธ์ 2550</t>
  </si>
  <si>
    <t xml:space="preserve">หมวดค่าที่ดินและสิ่งก่อสร้าง </t>
  </si>
  <si>
    <t xml:space="preserve">  -  วางท่อระบายน้ำ คสล. หมู่ที่ 2 (สนามกีฬา),  หมู่ที่ 5 (ทางขึ้น ศพด.บ้านเขาใหญ่), หมู่ที่ 6 (ถนนสาย รพช.เขาลานจำ)</t>
  </si>
  <si>
    <t>เงินอุดหนุนครอบครัวชุมชน</t>
  </si>
  <si>
    <t>ประจำเดือน   กุมภาพันธ์  2550 (ฉบับแก้ไข วันที่  22  พ.ค. 50)</t>
  </si>
  <si>
    <t>ประจำเดือน   มีนาคม  2550 (ฉบับแก้ไข วันที่  22  พ.ค. 50)</t>
  </si>
  <si>
    <t>ประจำเดือน  เมษายน 2550  ( ฉบับแก้ไข วันที่  22 พ.ค. 50 )</t>
  </si>
  <si>
    <t>ค่าวัสดุการศึกษา ทม.</t>
  </si>
  <si>
    <t>ค่าวัสดุการศึกษาทม.</t>
  </si>
  <si>
    <t xml:space="preserve">        ปลัด  อบต.ฉลอง ปฏิบัติราชการแทน</t>
  </si>
  <si>
    <t xml:space="preserve">                         ปลัด อบต.เขาน้อย</t>
  </si>
  <si>
    <t xml:space="preserve">      นายก อบต.</t>
  </si>
  <si>
    <t xml:space="preserve">   (นางลัดดาวัลย์  ศิริสมบัติ)                                                 (นางภัณฑิรา  รักบำรุง)                                  (นายศุภโชค  พัดฉิม)</t>
  </si>
  <si>
    <t>ประจำเดือน   เมษายน  2550 (ฉบับแก้ไข วันที่  22  พ.ค. 50)</t>
  </si>
  <si>
    <t>ประจำเดือน  พฤษภาคม  2550  ( แก้ไข เดือนกรกฎาคม 2550)</t>
  </si>
  <si>
    <t xml:space="preserve">   (นางลัดดาวัลย์  ศิริสมบัติ)                                                 (นายสุเทพ  สมทรัพย์)                                  (นายศุภโชค  พัดฉิม)</t>
  </si>
  <si>
    <t xml:space="preserve">                              ปลัด  อบต.</t>
  </si>
  <si>
    <t xml:space="preserve">                               ปลัด  อบต.</t>
  </si>
  <si>
    <t xml:space="preserve">เงินอ.สำหรับส่งเสริมองค์ความรู้ </t>
  </si>
  <si>
    <t xml:space="preserve">               (นางลัดดาวัลย์  ศิริสมบัติ)                                               (นายสุเทพ  สมทรัพย์)                                           </t>
  </si>
  <si>
    <t xml:space="preserve">                  หัวหน้าส่วนการคลัง                                                                ปลัด อบต.                              </t>
  </si>
  <si>
    <t>ประจำเดือน   มกราคม  2550 (ฉบับแก้ไข วันที่  6  ก.ค. 50))</t>
  </si>
  <si>
    <t xml:space="preserve">   (นางลัดดาวัลย์  ศิริสมบัติ)                                                 (นายสุเทพ  สมทรัพย์)                 (นายศุภโชค  พัดฉิม)</t>
  </si>
  <si>
    <t xml:space="preserve">                           ปลัด  อบต.</t>
  </si>
  <si>
    <t xml:space="preserve">   (นางลัดดาวัลย์  ศิริสมบัติ)                                                 (นายสุเทพ  สมทรัพย์)                         (นายศุภโชค  พัดฉิม)</t>
  </si>
  <si>
    <t>ประจำเดือน   กุมภาพันธ์  2550 (ฉบับแก้ไข วันที่  6 ก.ค.  50)</t>
  </si>
  <si>
    <t>ประจำเดือน   มีนาคม  2550 (ฉบับแก้ไข วันที่  6  ก.ค. 50)</t>
  </si>
  <si>
    <t xml:space="preserve">             นายก อบต.</t>
  </si>
  <si>
    <t xml:space="preserve">   (นางลัดดาวัลย์  ศิริสมบัติ)                                                 (นายสุเทพ  สมทรัพย์)                                            (นายศุภโชค  พัดฉิม)</t>
  </si>
  <si>
    <t xml:space="preserve">                             ปลัด  อบต.</t>
  </si>
  <si>
    <t>ประจำเดือน   เมษายน  2550 (ฉบับแก้ไข วันที่  6 ก.ค. 50)</t>
  </si>
  <si>
    <t xml:space="preserve">                        ปลัด  อบต. </t>
  </si>
  <si>
    <t xml:space="preserve">   (นางลัดดาวัลย์  ศิริสมบัติ)                                                 (นายสุเทพ  สมทรัพย์)                                     (นายศุภโชค  พัดฉิม)</t>
  </si>
  <si>
    <t>ประจำเดือน  พฤษภาคม  2550  ( แก้ไข วันที่ 6  กรกฎาคม 2550)</t>
  </si>
  <si>
    <t>ประจำเดือน  มิถุนายน 2550   ( แก้ไข วันที่ 6 กรกฎาคม 2550 )</t>
  </si>
  <si>
    <t xml:space="preserve">ประจำเดือน  สิงหาคม 2550   </t>
  </si>
  <si>
    <t xml:space="preserve"> (นางลัดดาวัลย์  ศิริสมบัติ)</t>
  </si>
  <si>
    <t>หัวหน้าส่วนการคลัง</t>
  </si>
  <si>
    <t xml:space="preserve">  (นางลัดดาวัลย์  ศิริสมบัติ)</t>
  </si>
  <si>
    <t xml:space="preserve"> (นายสุเทพ  สมทรัพย์)</t>
  </si>
  <si>
    <t xml:space="preserve"> ปลัด  อบต. </t>
  </si>
  <si>
    <t xml:space="preserve"> นายกองค์การบริหารส่วนตำบล</t>
  </si>
  <si>
    <t>ณ วันที่  30  กันยายน   2550</t>
  </si>
  <si>
    <t>ประจำเดือน กันยายน 2550</t>
  </si>
  <si>
    <t>ค่าปรับจราจรทางบก</t>
  </si>
  <si>
    <t>ภาษีมูลค่าเพิ่ม:-</t>
  </si>
  <si>
    <t>ประจำเดือน  กันยายน  2550</t>
  </si>
  <si>
    <t>เงินอุดหนุนทั่วไป -ระบุวัตถุประสงค์ (ถ่ายโอน 50) (หม.5)</t>
  </si>
  <si>
    <t>รายจ่ายผัดส่งใบสำคัญ</t>
  </si>
  <si>
    <t>ค่ารับรองและพิธีการ</t>
  </si>
  <si>
    <t>ค่าจัดงานวันชักพระวัดเขาน้อยและวัดเขาใหญ่</t>
  </si>
  <si>
    <t>ค่าใช้จ่ายสำรวจความพึงพอใจฯ</t>
  </si>
  <si>
    <t>ค่าจัดซื้อเครื่องรับส่งวิทยุระบบ VHF/FM ชนิดมือถือ 5 วัตต์</t>
  </si>
  <si>
    <t>จำนวน 9 เครื่อง</t>
  </si>
  <si>
    <t>โครงการบุกเบิกถนนสายบ้านนายสุเทพ  คล้ายทอง ตอนที่</t>
  </si>
  <si>
    <t>2  หมุ่ที่ 1</t>
  </si>
  <si>
    <t>โครงการบุกเบิกถนนสายบ้านนายสุธรรม ถึงคลองสะพาน</t>
  </si>
  <si>
    <t>หมู่ที่ 5</t>
  </si>
  <si>
    <t>โครงการก่อสร้างท่อน้ำล้นคลองห้วยนาว หมู่ที่ 3</t>
  </si>
  <si>
    <t>โครงการก่อสร้างอาคารที่ทำการ อบต.เขาน้อย หมู่ที่ 4</t>
  </si>
  <si>
    <t>ประจำเดือน กันยายน  2550</t>
  </si>
  <si>
    <t>เงินอุดหนุนทั่วไป (ถ่ายโอน 49) -ครอบครัวชุมชน</t>
  </si>
  <si>
    <t>รายจ่ายงบกลาง</t>
  </si>
  <si>
    <t>ปป.ถนนสายแยกโรงเรียนบ้านเขาใหญ่ หมู่ที่ 4</t>
  </si>
  <si>
    <t>ซ่อมแซมระบบประปาคลองโหมด หมู่ที่ 5, หมู่ที่ 1</t>
  </si>
  <si>
    <t>11</t>
  </si>
  <si>
    <t>12</t>
  </si>
  <si>
    <t>13</t>
  </si>
  <si>
    <t>14</t>
  </si>
  <si>
    <t>15</t>
  </si>
  <si>
    <t>อาหารกลางวัน ศพด. อบต.เขาน้อย</t>
  </si>
  <si>
    <t>ประจำปีงบประมาณ 2550</t>
  </si>
  <si>
    <t>อาหารกลางวัน ศพด. (พัฒนาชุมชนเดิม)</t>
  </si>
  <si>
    <t>ค่าพาหนะ ศพด.</t>
  </si>
  <si>
    <t>ค่าพาหนะ ศดว.</t>
  </si>
  <si>
    <t>16</t>
  </si>
  <si>
    <t>เงินอุดหนุนเสริมสร้างพัฒนาองค์ความรู้</t>
  </si>
  <si>
    <t xml:space="preserve">       ส่วนการคลังได้จัดทำงบทดลองหลังปิดบัญชี</t>
  </si>
  <si>
    <t>เดือน ก.ย. 50  แล้วเสร็จตามระเบียบกท.ว่าด้วย</t>
  </si>
  <si>
    <t>821   /1</t>
  </si>
  <si>
    <t xml:space="preserve"> '821    /2</t>
  </si>
  <si>
    <t xml:space="preserve">ประจำเดือน    กันยายน    2550   </t>
  </si>
  <si>
    <t xml:space="preserve">รายจ่ายค้างจ่าย </t>
  </si>
  <si>
    <t xml:space="preserve">เงินอุดหนุนทั่วไป 2550 (ระบุวัตถุประสงค์) </t>
  </si>
  <si>
    <t>เงินอุดหนุนทั่วไป 2550 (ระบุวัตถุประสงค์)</t>
  </si>
  <si>
    <r>
      <t>เงินสะสม</t>
    </r>
    <r>
      <rPr>
        <i/>
        <sz val="16"/>
        <color indexed="10"/>
        <rFont val="Cordia New"/>
        <family val="2"/>
      </rPr>
      <t>ค้างปรับปรุงรายได้ค้างรับ 50</t>
    </r>
  </si>
  <si>
    <r>
      <t xml:space="preserve">รายได้ค้างรับ </t>
    </r>
    <r>
      <rPr>
        <i/>
        <sz val="14"/>
        <color indexed="10"/>
        <rFont val="Cordia New"/>
        <family val="2"/>
      </rPr>
      <t xml:space="preserve"> ค้างปรับปรุงรายได้ค้างรับ 50</t>
    </r>
  </si>
  <si>
    <t>กันยายน 2550  แล้วเสร็จตามระเบียบกท.ว่าด้วย</t>
  </si>
  <si>
    <t>ประจำเดือน  สิงหาคม 2550    (แก้ไขกันยายน  2550)</t>
  </si>
  <si>
    <r>
      <t xml:space="preserve">รายได้ค้างรับ </t>
    </r>
    <r>
      <rPr>
        <i/>
        <sz val="14"/>
        <color indexed="10"/>
        <rFont val="Cordia New"/>
        <family val="2"/>
      </rPr>
      <t xml:space="preserve"> </t>
    </r>
  </si>
  <si>
    <t>หมวดค่าที่ดินและสิ่งก่อสร้าง</t>
  </si>
  <si>
    <t>1.โครงการวางท่อระบายน้ำ คสล. ถนน.รพช.ถึงเขาลานจำ,ทางขึ้น ศพด.บ้านเขาใหญ่,</t>
  </si>
  <si>
    <t xml:space="preserve">    สนามกีฬาตำบลเขาน้อย  หมู่ที่ 2</t>
  </si>
  <si>
    <t>หมวดค่าครุภัณฑ์</t>
  </si>
  <si>
    <t>1.  ซื้อรถยนต์บรรทุกดีเซลขนาด 1 ตัน จำนวน 1 คัน  (จ่ายรวมกับเงินรายรับ)</t>
  </si>
  <si>
    <t>บัญชีจ่ายจากบัญชีสำรองเงินรายรับ</t>
  </si>
  <si>
    <t>2.  ซื้อที่ดินเพื่อก่อสร้างอาคาร อบต.</t>
  </si>
  <si>
    <t>3.  ค่าถมที่ดินเพื่อก่อสร้างอาคารที่ทำการ อบต.</t>
  </si>
  <si>
    <r>
      <t>โอนเป็นเงินสะสม</t>
    </r>
    <r>
      <rPr>
        <sz val="14"/>
        <rFont val="Cordia New"/>
        <family val="0"/>
      </rPr>
      <t>เนื่องจากเป็นเงินสำรองเงินรายรับเหลือจ่ายจากถมที่ดินและซื้อที่ดิน</t>
    </r>
  </si>
  <si>
    <t>รวมรายจ่ายจากสำรองเงินรายรับ</t>
  </si>
  <si>
    <t>งบแสดงฐานะการเงิน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</si>
  <si>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</si>
  <si>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</si>
  <si>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</si>
  <si>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</si>
  <si>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ลูกหนี้เงินยืมเงินสะสม</t>
  </si>
  <si>
    <t>รายจ่ายค้างจ่าย (เงินอุดหนุนทั่วไประบุวัตถุประสงค์) (หมายเหตุ 4)</t>
  </si>
  <si>
    <t>เงินรับฝากต่าง ๆ    (หมายเหตุ 2)</t>
  </si>
  <si>
    <t xml:space="preserve"> -</t>
  </si>
  <si>
    <t>เงินสดในมือ</t>
  </si>
  <si>
    <t>เงินฝากธนาคาร ธกส./สาขาสิชล</t>
  </si>
  <si>
    <t>รายรับสูงกว่ารายจ่ายจริง</t>
  </si>
  <si>
    <t>ออมทรัพย์ (อบต.)</t>
  </si>
  <si>
    <t>รายการปรับปรุงเงินสะสม</t>
  </si>
  <si>
    <t>ออมทรัพย์ (เงินทุนโครงการเศรษฐกิจชุมชน)</t>
  </si>
  <si>
    <t>หัก</t>
  </si>
  <si>
    <t>จ่ายขาดเงินสะสม</t>
  </si>
  <si>
    <t>กระแสรายวัน</t>
  </si>
  <si>
    <t>เงินฝากธนาคาร กรุงไทย/สาขาท่าศาลา</t>
  </si>
  <si>
    <t>ลงชื่อ</t>
  </si>
  <si>
    <t xml:space="preserve">       (  นางลัดดาวัลย์  ศิริสมบัติ)</t>
  </si>
  <si>
    <t xml:space="preserve">         (    นายสุเทพ  สมทรัพย์   )</t>
  </si>
  <si>
    <t>(   นายศุภโชค  พัดฉิม   )</t>
  </si>
  <si>
    <t xml:space="preserve">               หัวหน้าส่วนการคลัง</t>
  </si>
  <si>
    <t>ณ วันที่   30  กันยายน  2550</t>
  </si>
  <si>
    <t>องค์การบริหารส่วนตำบลเขาน้อ  อำเภอสิชล  จังหวัดนครศรีธรรมราช</t>
  </si>
  <si>
    <t>ประมาณการรายรับ</t>
  </si>
  <si>
    <t>รับจริง</t>
  </si>
  <si>
    <t xml:space="preserve"> +</t>
  </si>
  <si>
    <t>สูง</t>
  </si>
  <si>
    <t>ต่ำ</t>
  </si>
  <si>
    <t>รายรับตามประมาณการ</t>
  </si>
  <si>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</si>
  <si>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</si>
  <si>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</si>
  <si>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หมวดรายได้จากสาธารณูปโภค</t>
  </si>
  <si>
    <t>รายได้จากทุน</t>
  </si>
  <si>
    <t>หมวดเงินอุดหนุน</t>
  </si>
  <si>
    <t>รวมรายรับตามประมาณการทั้งสิ้น</t>
  </si>
  <si>
    <t>+</t>
  </si>
  <si>
    <t>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</si>
  <si>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</si>
  <si>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>รวมรายรับทั้งสิ้น</t>
  </si>
  <si>
    <t>ประมาณการรายจ่าย</t>
  </si>
  <si>
    <t>รายจ่ายจริง</t>
  </si>
  <si>
    <t>รายจ่ายตามประมาณการ</t>
  </si>
  <si>
    <t>หมวดรายจ่ายงบกลาง</t>
  </si>
  <si>
    <t>หมวดเงินเดือน</t>
  </si>
  <si>
    <t>หมวดค่าจ้างประจำ</t>
  </si>
  <si>
    <t>หมวดค่าจ้างชั่วคราว</t>
  </si>
  <si>
    <t>หมวดค่าตอบแทน</t>
  </si>
  <si>
    <t>หมวดค่าใช้สอย</t>
  </si>
  <si>
    <t>หมวดค่าวัสดุ</t>
  </si>
  <si>
    <t>หมวดค่าสาธารณูปโภค</t>
  </si>
  <si>
    <t>รวมรายจ่ายตามงบประมาณทั้งสิ้น</t>
  </si>
  <si>
    <t>รายจ่ายที่จ่ายจากเงินอุดหนุนที่รัฐบาลให้โดยระบุวัตถุประสงค์</t>
  </si>
  <si>
    <t>รวมรายจ่ายทั้งสิ้น</t>
  </si>
  <si>
    <t>รายรับ                                รายจ่าย</t>
  </si>
  <si>
    <t>(นายสุเทพ  สมทรัพย์)</t>
  </si>
  <si>
    <t>นายก อบต.</t>
  </si>
  <si>
    <t>ตั้งแต่วันที่  1  ตุลาคม  2549  ถึงวันที่  30  กันยายน  2550</t>
  </si>
  <si>
    <t>หมวดรายจ่ายอื่น</t>
  </si>
  <si>
    <t>(นางลัดดาวัลย์  ศิริสมบัติ)                                               (นายสุเทพ  สมทรัพย์)</t>
  </si>
  <si>
    <t xml:space="preserve">    หัวหน้าส่วนการคลัง                                                                ปลัด อบต.</t>
  </si>
  <si>
    <t>งบรายรับ - รายจ่าย ตามงบประมาณ  ประจำปีงบประมาณ  2550</t>
  </si>
  <si>
    <t>งบทดลอง  (หลังปิดบัญชี)</t>
  </si>
  <si>
    <t>เงินอุดหนุนทั่วไป -ระบุวัตถุประสงค์ (ถ่ายโอน 50)</t>
  </si>
  <si>
    <t>ชื่อ อปท.  องค์การบริหารส่วนตำบลเขาน้อย  อำเภอสิชล  จังหวัดนครศรีธรรมราช</t>
  </si>
  <si>
    <t>เพิ่มเติมครั้งที่ 1</t>
  </si>
  <si>
    <t>เพิ่มเติมครั้งที่ 2</t>
  </si>
  <si>
    <t>เพิ่มเติมครั้งที่ 3</t>
  </si>
  <si>
    <t>(1)</t>
  </si>
  <si>
    <t>(2)</t>
  </si>
  <si>
    <t>(3)</t>
  </si>
  <si>
    <t>(4)</t>
  </si>
  <si>
    <t>(5)  = (1)+(2)+(3)+(4)</t>
  </si>
  <si>
    <t>(6)</t>
  </si>
  <si>
    <t>(7)  = (6) - (5)</t>
  </si>
  <si>
    <t>(ลงชื่อ)</t>
  </si>
  <si>
    <t xml:space="preserve">            ผู้ตรวจสอบ</t>
  </si>
  <si>
    <t xml:space="preserve">                  (นายสุเทพ  สมทรัพย์)</t>
  </si>
  <si>
    <t>ตำแหน่ง  ปลัดองค์การบริหารส่วนตำบล</t>
  </si>
  <si>
    <t>แบบรายงานบัญชีสำรองเงินรายรับ  ประจำปีงบประมาณ พ.ศ. 2550</t>
  </si>
  <si>
    <t>ข้อบัญญัติประจำปี 2550</t>
  </si>
  <si>
    <t>ประมาณการรายรับประจำปี 2550  (บาท)</t>
  </si>
  <si>
    <t>รวมรายรับประจำปี 2550</t>
  </si>
  <si>
    <t>รายรับจริงปีงบประมาณ 2550</t>
  </si>
  <si>
    <t>สำรองเงินรายรับปี 2550</t>
  </si>
  <si>
    <t xml:space="preserve">                  ผู้อนุมัติ</t>
  </si>
  <si>
    <t xml:space="preserve">                  (นายศุภโชค  พัดฉิม)</t>
  </si>
  <si>
    <t>ตำแหน่ง  นายกองค์การบริหารส่วนตำบลเขาน้อย</t>
  </si>
  <si>
    <t>งบทรัพย์สิน</t>
  </si>
  <si>
    <t>ประเภททรัพย์สิน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</si>
  <si>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</si>
  <si>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</si>
  <si>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</si>
  <si>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</si>
  <si>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จำนวน</t>
  </si>
  <si>
    <t>จากงวดก่อน</t>
  </si>
  <si>
    <t>ก.</t>
  </si>
  <si>
    <t>อสังหาริมทรัพย์</t>
  </si>
  <si>
    <t>อาคารตลาดกลางการเกษตร</t>
  </si>
  <si>
    <t>เงินอุดหนุนทั่วไป</t>
  </si>
  <si>
    <t>อาคารสำนักงาน</t>
  </si>
  <si>
    <t>อาคาร ศพด.บ้านทุ่งขันหมาก</t>
  </si>
  <si>
    <t>หอถังสูงประปา</t>
  </si>
  <si>
    <t>นบกั้นน้ำ, ฝายกั้นน้ำ</t>
  </si>
  <si>
    <t>คูส่งน้ำ</t>
  </si>
  <si>
    <t>ท่อระบายน้ำ</t>
  </si>
  <si>
    <t>เงินรายได้</t>
  </si>
  <si>
    <t>อาคารจ่ายน้ำ</t>
  </si>
  <si>
    <t>ถนนดิน</t>
  </si>
  <si>
    <t>เงินเบิกตัดปี</t>
  </si>
  <si>
    <t>หอกระจายข่าว,เสียงตามสาย</t>
  </si>
  <si>
    <t>ศาลา</t>
  </si>
  <si>
    <t>สะพาน</t>
  </si>
  <si>
    <t>ถนน คสล.</t>
  </si>
  <si>
    <t>ข.</t>
  </si>
  <si>
    <t>สังหาริมทรัพย์</t>
  </si>
  <si>
    <t>เครื่องใช้สำนักงาน</t>
  </si>
  <si>
    <t>ครุภัณฑ์ยานพาหนะ</t>
  </si>
  <si>
    <t>ครุภัณฑ์การเกษตร</t>
  </si>
  <si>
    <t>สาธารณะ</t>
  </si>
  <si>
    <t>วัสดุสำนักงาน</t>
  </si>
  <si>
    <t>วัสดุเครื่องบริโภค</t>
  </si>
  <si>
    <t>วัสดุงานบ้านงานครัว</t>
  </si>
  <si>
    <t>วัสดุคอมพิวเตอร์</t>
  </si>
  <si>
    <t>วัสดุเผยแพร่และโฆษณา</t>
  </si>
  <si>
    <t xml:space="preserve">           (นางลัดดาวัลย์  ศิริสมบัติ)</t>
  </si>
  <si>
    <t xml:space="preserve">                       (นายศุภโชค  พัดฉิม)</t>
  </si>
  <si>
    <t xml:space="preserve">           ปลัด อบต.</t>
  </si>
  <si>
    <t xml:space="preserve">                               นายก อบต.</t>
  </si>
  <si>
    <t xml:space="preserve">                              (นางลัดดาวัลย์  ศิริสมบัติ)</t>
  </si>
  <si>
    <t xml:space="preserve">                      ตำแหน่ง  หัวหน้าส่วนการคลัง</t>
  </si>
  <si>
    <t xml:space="preserve">สนามกีฬา </t>
  </si>
  <si>
    <t>บ่อน้ำ, บ่อบาดาล</t>
  </si>
  <si>
    <t>ยางมะตอยสำเร็จรูป</t>
  </si>
  <si>
    <t>อุปกรณ์กีฬา</t>
  </si>
  <si>
    <t xml:space="preserve">วัสดุอื่น ๆ </t>
  </si>
  <si>
    <t>ที่ดิน</t>
  </si>
  <si>
    <t>เบิกตัดปี</t>
  </si>
  <si>
    <t>วัสดุการศึกษา</t>
  </si>
  <si>
    <t>(ระบุวัตถุประสงค์)</t>
  </si>
  <si>
    <t>ครุภัณฑ์สำรวจ</t>
  </si>
  <si>
    <t>ปลัดองค์การบริหารส่วนตำบลเขาน้อย                                                  นายกองค์การบริหารส่วนตำบลเขาน้อย</t>
  </si>
  <si>
    <t>เงินสะสม 1  ตุลาคม  2549</t>
  </si>
  <si>
    <t>เงินสะสม ณ วันที่  30  กันยายน  2550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</si>
</sst>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  <numFmt numFmtId="201" formatCode="d\ ดดดด\ bbbb"/>
    <numFmt numFmtId="202" formatCode="[$-41E]d\ mmmm\ yyyy"/>
    <numFmt numFmtId="203" formatCode="[$-F800]dddd\,\ mmmm\ dd\,\ yyyy"/>
    <numFmt numFmtId="204" formatCode="[$-409]dddd\,\ mmmm\ dd\,\ yyyy"/>
  </numFmts>
  <fonts count="50">
    <font>
      <sz val="14"/>
      <name val="Cordia New"/>
      <family val="0"/>
    </font>
    <font>
      <sz val="16"/>
      <name val="Cordia New"/>
      <family val="2"/>
    </font>
    <font>
      <b/>
      <sz val="16"/>
      <name val="Cordia New"/>
      <family val="2"/>
    </font>
    <font>
      <b/>
      <sz val="16"/>
      <color indexed="10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sz val="14"/>
      <color indexed="10"/>
      <name val="Cordia New"/>
      <family val="2"/>
    </font>
    <font>
      <sz val="16"/>
      <color indexed="10"/>
      <name val="Cordia New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sz val="14"/>
      <color indexed="46"/>
      <name val="Cordia New"/>
      <family val="2"/>
    </font>
    <font>
      <sz val="14"/>
      <color indexed="12"/>
      <name val="Cordia New"/>
      <family val="2"/>
    </font>
    <font>
      <b/>
      <sz val="14"/>
      <color indexed="10"/>
      <name val="Cordia New"/>
      <family val="2"/>
    </font>
    <font>
      <sz val="8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b/>
      <sz val="18"/>
      <name val="AngsanaUPC"/>
      <family val="1"/>
    </font>
    <font>
      <b/>
      <u val="single"/>
      <sz val="14"/>
      <name val="AngsanaUPC"/>
      <family val="1"/>
    </font>
    <font>
      <sz val="11"/>
      <name val="AngsanaUPC"/>
      <family val="1"/>
    </font>
    <font>
      <b/>
      <u val="single"/>
      <sz val="12"/>
      <name val="AngsanaUPC"/>
      <family val="1"/>
    </font>
    <font>
      <b/>
      <sz val="15"/>
      <name val="Cordia New"/>
      <family val="2"/>
    </font>
    <font>
      <sz val="15"/>
      <name val="Cordia New"/>
      <family val="2"/>
    </font>
    <font>
      <b/>
      <sz val="20"/>
      <color indexed="10"/>
      <name val="Cordia New"/>
      <family val="2"/>
    </font>
    <font>
      <sz val="14"/>
      <color indexed="20"/>
      <name val="Cordia New"/>
      <family val="0"/>
    </font>
    <font>
      <b/>
      <sz val="13"/>
      <color indexed="8"/>
      <name val="Cordia New"/>
      <family val="2"/>
    </font>
    <font>
      <sz val="13"/>
      <color indexed="8"/>
      <name val="Cordia New"/>
      <family val="2"/>
    </font>
    <font>
      <b/>
      <sz val="26"/>
      <name val="Cordia New"/>
      <family val="2"/>
    </font>
    <font>
      <b/>
      <sz val="11"/>
      <name val="Cordia New"/>
      <family val="2"/>
    </font>
    <font>
      <b/>
      <sz val="10"/>
      <name val="Cordia New"/>
      <family val="2"/>
    </font>
    <font>
      <b/>
      <sz val="13"/>
      <name val="AngsanaUPC"/>
      <family val="1"/>
    </font>
    <font>
      <b/>
      <u val="single"/>
      <sz val="13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sz val="13"/>
      <name val="AngsanaUPC"/>
      <family val="1"/>
    </font>
    <font>
      <b/>
      <i/>
      <sz val="14"/>
      <name val="Cordia New"/>
      <family val="2"/>
    </font>
    <font>
      <b/>
      <sz val="20"/>
      <name val="Cordia New"/>
      <family val="2"/>
    </font>
    <font>
      <i/>
      <sz val="14"/>
      <color indexed="10"/>
      <name val="Cordia New"/>
      <family val="2"/>
    </font>
    <font>
      <i/>
      <sz val="16"/>
      <color indexed="10"/>
      <name val="Cordia New"/>
      <family val="2"/>
    </font>
    <font>
      <sz val="15"/>
      <color indexed="10"/>
      <name val="Cordia New"/>
      <family val="2"/>
    </font>
    <font>
      <b/>
      <u val="single"/>
      <sz val="15"/>
      <name val="Cordia New"/>
      <family val="2"/>
    </font>
    <font>
      <sz val="14.5"/>
      <name val="Cordia New"/>
      <family val="0"/>
    </font>
    <font>
      <b/>
      <sz val="17"/>
      <name val="Cordia New"/>
      <family val="0"/>
    </font>
    <font>
      <b/>
      <sz val="14.5"/>
      <name val="Cordia New"/>
      <family val="0"/>
    </font>
    <font>
      <b/>
      <sz val="14"/>
      <color indexed="8"/>
      <name val="AngsanaUPC"/>
      <family val="1"/>
    </font>
    <font>
      <b/>
      <sz val="13.5"/>
      <name val="AngsanaUPC"/>
      <family val="1"/>
    </font>
    <font>
      <sz val="13.5"/>
      <name val="AngsanaUPC"/>
      <family val="1"/>
    </font>
    <font>
      <sz val="15"/>
      <name val="AngsanaUPC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dotted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194" fontId="1" fillId="0" borderId="2" xfId="15" applyFont="1" applyBorder="1" applyAlignment="1">
      <alignment/>
    </xf>
    <xf numFmtId="194" fontId="1" fillId="0" borderId="4" xfId="15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94" fontId="1" fillId="0" borderId="7" xfId="15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 quotePrefix="1">
      <alignment horizontal="center"/>
    </xf>
    <xf numFmtId="0" fontId="0" fillId="0" borderId="2" xfId="0" applyFont="1" applyBorder="1" applyAlignment="1">
      <alignment/>
    </xf>
    <xf numFmtId="194" fontId="0" fillId="0" borderId="2" xfId="15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194" fontId="0" fillId="0" borderId="9" xfId="15" applyFont="1" applyBorder="1" applyAlignment="1">
      <alignment/>
    </xf>
    <xf numFmtId="0" fontId="1" fillId="0" borderId="7" xfId="0" applyFont="1" applyBorder="1" applyAlignment="1" quotePrefix="1">
      <alignment horizontal="center"/>
    </xf>
    <xf numFmtId="0" fontId="0" fillId="0" borderId="2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94" fontId="6" fillId="0" borderId="11" xfId="15" applyFont="1" applyBorder="1" applyAlignment="1">
      <alignment/>
    </xf>
    <xf numFmtId="194" fontId="6" fillId="0" borderId="10" xfId="15" applyFont="1" applyBorder="1" applyAlignment="1">
      <alignment/>
    </xf>
    <xf numFmtId="194" fontId="6" fillId="0" borderId="12" xfId="15" applyFont="1" applyBorder="1" applyAlignment="1">
      <alignment/>
    </xf>
    <xf numFmtId="194" fontId="6" fillId="0" borderId="6" xfId="15" applyFont="1" applyBorder="1" applyAlignment="1">
      <alignment/>
    </xf>
    <xf numFmtId="194" fontId="1" fillId="0" borderId="9" xfId="0" applyNumberFormat="1" applyFont="1" applyBorder="1" applyAlignment="1">
      <alignment/>
    </xf>
    <xf numFmtId="194" fontId="0" fillId="0" borderId="7" xfId="15" applyFont="1" applyBorder="1" applyAlignment="1">
      <alignment/>
    </xf>
    <xf numFmtId="194" fontId="0" fillId="0" borderId="4" xfId="15" applyFont="1" applyBorder="1" applyAlignment="1">
      <alignment/>
    </xf>
    <xf numFmtId="194" fontId="0" fillId="0" borderId="6" xfId="15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/>
    </xf>
    <xf numFmtId="194" fontId="0" fillId="0" borderId="13" xfId="15" applyBorder="1" applyAlignment="1">
      <alignment/>
    </xf>
    <xf numFmtId="194" fontId="0" fillId="0" borderId="9" xfId="0" applyNumberFormat="1" applyBorder="1" applyAlignment="1">
      <alignment/>
    </xf>
    <xf numFmtId="194" fontId="0" fillId="0" borderId="16" xfId="15" applyBorder="1" applyAlignment="1">
      <alignment/>
    </xf>
    <xf numFmtId="0" fontId="8" fillId="0" borderId="0" xfId="0" applyFont="1" applyAlignment="1">
      <alignment/>
    </xf>
    <xf numFmtId="194" fontId="0" fillId="0" borderId="6" xfId="15" applyBorder="1" applyAlignment="1">
      <alignment/>
    </xf>
    <xf numFmtId="194" fontId="0" fillId="0" borderId="9" xfId="15" applyBorder="1" applyAlignment="1">
      <alignment/>
    </xf>
    <xf numFmtId="194" fontId="0" fillId="0" borderId="16" xfId="15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1" fillId="0" borderId="17" xfId="0" applyFont="1" applyBorder="1" applyAlignment="1">
      <alignment/>
    </xf>
    <xf numFmtId="49" fontId="0" fillId="0" borderId="13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194" fontId="1" fillId="0" borderId="18" xfId="15" applyFont="1" applyBorder="1" applyAlignment="1">
      <alignment/>
    </xf>
    <xf numFmtId="194" fontId="9" fillId="0" borderId="2" xfId="15" applyFont="1" applyBorder="1" applyAlignment="1">
      <alignment/>
    </xf>
    <xf numFmtId="194" fontId="6" fillId="0" borderId="14" xfId="15" applyFont="1" applyBorder="1" applyAlignment="1">
      <alignment/>
    </xf>
    <xf numFmtId="194" fontId="6" fillId="0" borderId="2" xfId="15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6" xfId="0" applyFont="1" applyBorder="1" applyAlignment="1">
      <alignment/>
    </xf>
    <xf numFmtId="194" fontId="10" fillId="0" borderId="2" xfId="15" applyFont="1" applyBorder="1" applyAlignment="1">
      <alignment/>
    </xf>
    <xf numFmtId="194" fontId="10" fillId="0" borderId="7" xfId="15" applyFont="1" applyBorder="1" applyAlignment="1">
      <alignment/>
    </xf>
    <xf numFmtId="194" fontId="11" fillId="0" borderId="2" xfId="15" applyFont="1" applyBorder="1" applyAlignment="1">
      <alignment/>
    </xf>
    <xf numFmtId="194" fontId="9" fillId="0" borderId="6" xfId="15" applyFont="1" applyBorder="1" applyAlignment="1">
      <alignment/>
    </xf>
    <xf numFmtId="194" fontId="11" fillId="0" borderId="7" xfId="15" applyFont="1" applyBorder="1" applyAlignment="1">
      <alignment/>
    </xf>
    <xf numFmtId="194" fontId="11" fillId="0" borderId="4" xfId="15" applyFont="1" applyBorder="1" applyAlignment="1">
      <alignment/>
    </xf>
    <xf numFmtId="194" fontId="11" fillId="0" borderId="19" xfId="15" applyFont="1" applyBorder="1" applyAlignment="1">
      <alignment/>
    </xf>
    <xf numFmtId="194" fontId="0" fillId="0" borderId="13" xfId="15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94" fontId="1" fillId="0" borderId="0" xfId="0" applyNumberFormat="1" applyFont="1" applyBorder="1" applyAlignment="1">
      <alignment/>
    </xf>
    <xf numFmtId="0" fontId="5" fillId="0" borderId="20" xfId="0" applyFont="1" applyBorder="1" applyAlignment="1">
      <alignment/>
    </xf>
    <xf numFmtId="194" fontId="6" fillId="0" borderId="13" xfId="15" applyFont="1" applyBorder="1" applyAlignment="1">
      <alignment/>
    </xf>
    <xf numFmtId="0" fontId="5" fillId="0" borderId="21" xfId="0" applyFont="1" applyBorder="1" applyAlignment="1">
      <alignment/>
    </xf>
    <xf numFmtId="194" fontId="6" fillId="0" borderId="21" xfId="15" applyFont="1" applyBorder="1" applyAlignment="1">
      <alignment/>
    </xf>
    <xf numFmtId="194" fontId="1" fillId="0" borderId="7" xfId="15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/>
    </xf>
    <xf numFmtId="194" fontId="11" fillId="0" borderId="9" xfId="15" applyFont="1" applyBorder="1" applyAlignment="1">
      <alignment/>
    </xf>
    <xf numFmtId="194" fontId="11" fillId="0" borderId="22" xfId="15" applyFont="1" applyBorder="1" applyAlignment="1">
      <alignment/>
    </xf>
    <xf numFmtId="194" fontId="11" fillId="0" borderId="0" xfId="0" applyNumberFormat="1" applyFont="1" applyAlignment="1">
      <alignment/>
    </xf>
    <xf numFmtId="194" fontId="9" fillId="0" borderId="4" xfId="15" applyFont="1" applyBorder="1" applyAlignment="1">
      <alignment/>
    </xf>
    <xf numFmtId="0" fontId="14" fillId="0" borderId="2" xfId="0" applyFont="1" applyBorder="1" applyAlignment="1">
      <alignment/>
    </xf>
    <xf numFmtId="194" fontId="14" fillId="0" borderId="2" xfId="15" applyFont="1" applyBorder="1" applyAlignment="1">
      <alignment/>
    </xf>
    <xf numFmtId="194" fontId="6" fillId="0" borderId="0" xfId="0" applyNumberFormat="1" applyFont="1" applyAlignment="1">
      <alignment/>
    </xf>
    <xf numFmtId="0" fontId="14" fillId="2" borderId="2" xfId="0" applyFont="1" applyFill="1" applyBorder="1" applyAlignment="1">
      <alignment/>
    </xf>
    <xf numFmtId="194" fontId="14" fillId="2" borderId="2" xfId="15" applyFont="1" applyFill="1" applyBorder="1" applyAlignment="1">
      <alignment/>
    </xf>
    <xf numFmtId="0" fontId="11" fillId="2" borderId="2" xfId="0" applyFont="1" applyFill="1" applyBorder="1" applyAlignment="1">
      <alignment/>
    </xf>
    <xf numFmtId="194" fontId="11" fillId="2" borderId="2" xfId="15" applyFont="1" applyFill="1" applyBorder="1" applyAlignment="1">
      <alignment/>
    </xf>
    <xf numFmtId="194" fontId="13" fillId="2" borderId="2" xfId="15" applyFont="1" applyFill="1" applyBorder="1" applyAlignment="1">
      <alignment/>
    </xf>
    <xf numFmtId="194" fontId="0" fillId="0" borderId="0" xfId="15" applyAlignment="1">
      <alignment/>
    </xf>
    <xf numFmtId="0" fontId="0" fillId="2" borderId="0" xfId="0" applyFill="1" applyAlignment="1">
      <alignment/>
    </xf>
    <xf numFmtId="0" fontId="0" fillId="2" borderId="13" xfId="0" applyFill="1" applyBorder="1" applyAlignment="1" quotePrefix="1">
      <alignment horizontal="center"/>
    </xf>
    <xf numFmtId="194" fontId="0" fillId="2" borderId="13" xfId="15" applyFill="1" applyBorder="1" applyAlignment="1">
      <alignment/>
    </xf>
    <xf numFmtId="0" fontId="0" fillId="2" borderId="13" xfId="0" applyFill="1" applyBorder="1" applyAlignment="1">
      <alignment horizontal="center"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0" fontId="18" fillId="0" borderId="2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194" fontId="18" fillId="0" borderId="0" xfId="15" applyFont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Alignment="1" quotePrefix="1">
      <alignment horizontal="center"/>
    </xf>
    <xf numFmtId="194" fontId="17" fillId="0" borderId="0" xfId="15" applyFont="1" applyAlignment="1">
      <alignment/>
    </xf>
    <xf numFmtId="0" fontId="17" fillId="0" borderId="20" xfId="0" applyFont="1" applyBorder="1" applyAlignment="1">
      <alignment/>
    </xf>
    <xf numFmtId="194" fontId="17" fillId="0" borderId="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94" fontId="18" fillId="0" borderId="0" xfId="0" applyNumberFormat="1" applyFont="1" applyAlignment="1">
      <alignment/>
    </xf>
    <xf numFmtId="194" fontId="21" fillId="0" borderId="20" xfId="15" applyFont="1" applyBorder="1" applyAlignment="1">
      <alignment horizontal="center"/>
    </xf>
    <xf numFmtId="194" fontId="21" fillId="0" borderId="0" xfId="15" applyFont="1" applyBorder="1" applyAlignment="1">
      <alignment horizontal="center"/>
    </xf>
    <xf numFmtId="194" fontId="17" fillId="0" borderId="2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94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94" fontId="0" fillId="0" borderId="18" xfId="15" applyFont="1" applyBorder="1" applyAlignment="1">
      <alignment/>
    </xf>
    <xf numFmtId="0" fontId="7" fillId="0" borderId="2" xfId="0" applyFont="1" applyBorder="1" applyAlignment="1" quotePrefix="1">
      <alignment horizontal="center"/>
    </xf>
    <xf numFmtId="0" fontId="7" fillId="0" borderId="2" xfId="0" applyFont="1" applyBorder="1" applyAlignment="1">
      <alignment horizontal="center"/>
    </xf>
    <xf numFmtId="194" fontId="7" fillId="0" borderId="2" xfId="15" applyFont="1" applyBorder="1" applyAlignment="1">
      <alignment/>
    </xf>
    <xf numFmtId="0" fontId="7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194" fontId="2" fillId="0" borderId="2" xfId="15" applyFont="1" applyBorder="1" applyAlignment="1">
      <alignment/>
    </xf>
    <xf numFmtId="0" fontId="2" fillId="0" borderId="0" xfId="0" applyFont="1" applyAlignment="1">
      <alignment/>
    </xf>
    <xf numFmtId="194" fontId="23" fillId="0" borderId="2" xfId="15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194" fontId="24" fillId="0" borderId="7" xfId="15" applyFont="1" applyBorder="1" applyAlignment="1">
      <alignment horizontal="center"/>
    </xf>
    <xf numFmtId="194" fontId="24" fillId="0" borderId="2" xfId="15" applyFont="1" applyBorder="1" applyAlignment="1">
      <alignment/>
    </xf>
    <xf numFmtId="0" fontId="5" fillId="0" borderId="2" xfId="0" applyFont="1" applyBorder="1" applyAlignment="1">
      <alignment horizontal="left"/>
    </xf>
    <xf numFmtId="194" fontId="0" fillId="0" borderId="0" xfId="15" applyAlignment="1">
      <alignment horizontal="center"/>
    </xf>
    <xf numFmtId="194" fontId="11" fillId="0" borderId="0" xfId="15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1" fillId="2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27" xfId="0" applyFont="1" applyBorder="1" applyAlignment="1" quotePrefix="1">
      <alignment horizontal="center"/>
    </xf>
    <xf numFmtId="0" fontId="11" fillId="0" borderId="27" xfId="0" applyFont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194" fontId="11" fillId="2" borderId="2" xfId="15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194" fontId="14" fillId="0" borderId="28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0" xfId="0" applyFont="1" applyAlignment="1">
      <alignment horizontal="center"/>
    </xf>
    <xf numFmtId="194" fontId="25" fillId="0" borderId="0" xfId="0" applyNumberFormat="1" applyFont="1" applyAlignment="1">
      <alignment/>
    </xf>
    <xf numFmtId="194" fontId="0" fillId="0" borderId="0" xfId="15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194" fontId="18" fillId="0" borderId="20" xfId="0" applyNumberFormat="1" applyFont="1" applyBorder="1" applyAlignment="1">
      <alignment/>
    </xf>
    <xf numFmtId="194" fontId="0" fillId="0" borderId="16" xfId="15" applyFont="1" applyBorder="1" applyAlignment="1">
      <alignment horizontal="right"/>
    </xf>
    <xf numFmtId="194" fontId="26" fillId="0" borderId="13" xfId="15" applyFont="1" applyBorder="1" applyAlignment="1">
      <alignment/>
    </xf>
    <xf numFmtId="194" fontId="0" fillId="3" borderId="0" xfId="0" applyNumberFormat="1" applyFill="1" applyAlignment="1">
      <alignment/>
    </xf>
    <xf numFmtId="194" fontId="0" fillId="3" borderId="13" xfId="15" applyFill="1" applyBorder="1" applyAlignment="1">
      <alignment/>
    </xf>
    <xf numFmtId="0" fontId="0" fillId="3" borderId="0" xfId="0" applyFill="1" applyAlignment="1">
      <alignment/>
    </xf>
    <xf numFmtId="0" fontId="0" fillId="3" borderId="13" xfId="0" applyFill="1" applyBorder="1" applyAlignment="1">
      <alignment horizontal="center"/>
    </xf>
    <xf numFmtId="12" fontId="11" fillId="0" borderId="0" xfId="15" applyNumberFormat="1" applyFont="1" applyBorder="1" applyAlignment="1">
      <alignment/>
    </xf>
    <xf numFmtId="12" fontId="11" fillId="0" borderId="0" xfId="0" applyNumberFormat="1" applyFont="1" applyAlignment="1">
      <alignment/>
    </xf>
    <xf numFmtId="194" fontId="28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94" fontId="28" fillId="0" borderId="0" xfId="15" applyFont="1" applyBorder="1" applyAlignment="1">
      <alignment/>
    </xf>
    <xf numFmtId="12" fontId="28" fillId="0" borderId="0" xfId="15" applyNumberFormat="1" applyFont="1" applyBorder="1" applyAlignment="1">
      <alignment/>
    </xf>
    <xf numFmtId="0" fontId="28" fillId="0" borderId="0" xfId="0" applyFont="1" applyAlignment="1">
      <alignment/>
    </xf>
    <xf numFmtId="12" fontId="28" fillId="0" borderId="0" xfId="0" applyNumberFormat="1" applyFont="1" applyAlignment="1">
      <alignment/>
    </xf>
    <xf numFmtId="194" fontId="9" fillId="3" borderId="0" xfId="0" applyNumberFormat="1" applyFont="1" applyFill="1" applyAlignment="1">
      <alignment/>
    </xf>
    <xf numFmtId="194" fontId="9" fillId="3" borderId="13" xfId="15" applyFont="1" applyFill="1" applyBorder="1" applyAlignment="1">
      <alignment/>
    </xf>
    <xf numFmtId="0" fontId="9" fillId="3" borderId="0" xfId="0" applyFont="1" applyFill="1" applyAlignment="1">
      <alignment/>
    </xf>
    <xf numFmtId="0" fontId="9" fillId="3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194" fontId="9" fillId="0" borderId="13" xfId="15" applyFont="1" applyBorder="1" applyAlignment="1">
      <alignment/>
    </xf>
    <xf numFmtId="0" fontId="9" fillId="0" borderId="13" xfId="0" applyFont="1" applyBorder="1" applyAlignment="1">
      <alignment horizontal="center"/>
    </xf>
    <xf numFmtId="194" fontId="29" fillId="0" borderId="0" xfId="15" applyFont="1" applyBorder="1" applyAlignment="1">
      <alignment/>
    </xf>
    <xf numFmtId="0" fontId="9" fillId="2" borderId="0" xfId="0" applyFont="1" applyFill="1" applyAlignment="1">
      <alignment/>
    </xf>
    <xf numFmtId="0" fontId="9" fillId="2" borderId="13" xfId="0" applyFont="1" applyFill="1" applyBorder="1" applyAlignment="1">
      <alignment horizontal="center"/>
    </xf>
    <xf numFmtId="194" fontId="9" fillId="2" borderId="13" xfId="15" applyFont="1" applyFill="1" applyBorder="1" applyAlignment="1">
      <alignment/>
    </xf>
    <xf numFmtId="194" fontId="30" fillId="0" borderId="0" xfId="15" applyFont="1" applyBorder="1" applyAlignment="1">
      <alignment/>
    </xf>
    <xf numFmtId="200" fontId="0" fillId="0" borderId="0" xfId="15" applyNumberFormat="1" applyAlignment="1">
      <alignment/>
    </xf>
    <xf numFmtId="0" fontId="11" fillId="0" borderId="0" xfId="0" applyFont="1" applyFill="1" applyAlignment="1">
      <alignment/>
    </xf>
    <xf numFmtId="0" fontId="5" fillId="0" borderId="4" xfId="0" applyFont="1" applyBorder="1" applyAlignment="1">
      <alignment/>
    </xf>
    <xf numFmtId="194" fontId="6" fillId="0" borderId="4" xfId="15" applyFont="1" applyBorder="1" applyAlignment="1">
      <alignment/>
    </xf>
    <xf numFmtId="194" fontId="9" fillId="2" borderId="2" xfId="15" applyFont="1" applyFill="1" applyBorder="1" applyAlignment="1">
      <alignment/>
    </xf>
    <xf numFmtId="194" fontId="6" fillId="0" borderId="6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94" fontId="17" fillId="0" borderId="0" xfId="0" applyNumberFormat="1" applyFont="1" applyAlignment="1">
      <alignment/>
    </xf>
    <xf numFmtId="194" fontId="11" fillId="0" borderId="13" xfId="15" applyFont="1" applyBorder="1" applyAlignment="1">
      <alignment/>
    </xf>
    <xf numFmtId="194" fontId="1" fillId="0" borderId="20" xfId="15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0" xfId="0" applyFont="1" applyBorder="1" applyAlignment="1">
      <alignment/>
    </xf>
    <xf numFmtId="194" fontId="6" fillId="0" borderId="18" xfId="15" applyFont="1" applyBorder="1" applyAlignment="1">
      <alignment/>
    </xf>
    <xf numFmtId="194" fontId="7" fillId="0" borderId="6" xfId="15" applyFont="1" applyBorder="1" applyAlignment="1">
      <alignment/>
    </xf>
    <xf numFmtId="0" fontId="7" fillId="0" borderId="16" xfId="0" applyFont="1" applyBorder="1" applyAlignment="1">
      <alignment horizontal="center"/>
    </xf>
    <xf numFmtId="194" fontId="7" fillId="0" borderId="16" xfId="15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center"/>
    </xf>
    <xf numFmtId="194" fontId="7" fillId="0" borderId="16" xfId="15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194" fontId="6" fillId="0" borderId="11" xfId="0" applyNumberFormat="1" applyFont="1" applyBorder="1" applyAlignment="1">
      <alignment/>
    </xf>
    <xf numFmtId="194" fontId="6" fillId="0" borderId="10" xfId="0" applyNumberFormat="1" applyFont="1" applyBorder="1" applyAlignment="1">
      <alignment/>
    </xf>
    <xf numFmtId="194" fontId="6" fillId="0" borderId="21" xfId="0" applyNumberFormat="1" applyFont="1" applyBorder="1" applyAlignment="1">
      <alignment/>
    </xf>
    <xf numFmtId="194" fontId="6" fillId="0" borderId="2" xfId="0" applyNumberFormat="1" applyFont="1" applyBorder="1" applyAlignment="1">
      <alignment/>
    </xf>
    <xf numFmtId="194" fontId="6" fillId="0" borderId="31" xfId="0" applyNumberFormat="1" applyFont="1" applyBorder="1" applyAlignment="1">
      <alignment/>
    </xf>
    <xf numFmtId="0" fontId="32" fillId="0" borderId="2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32" fillId="0" borderId="0" xfId="0" applyFont="1" applyAlignment="1">
      <alignment/>
    </xf>
    <xf numFmtId="203" fontId="32" fillId="0" borderId="0" xfId="0" applyNumberFormat="1" applyFont="1" applyAlignment="1">
      <alignment horizontal="center"/>
    </xf>
    <xf numFmtId="194" fontId="32" fillId="0" borderId="0" xfId="15" applyFont="1" applyAlignment="1">
      <alignment/>
    </xf>
    <xf numFmtId="0" fontId="33" fillId="0" borderId="0" xfId="0" applyFont="1" applyAlignment="1">
      <alignment/>
    </xf>
    <xf numFmtId="0" fontId="32" fillId="0" borderId="20" xfId="0" applyFont="1" applyBorder="1" applyAlignment="1">
      <alignment/>
    </xf>
    <xf numFmtId="0" fontId="32" fillId="0" borderId="0" xfId="0" applyFont="1" applyBorder="1" applyAlignment="1">
      <alignment/>
    </xf>
    <xf numFmtId="0" fontId="34" fillId="0" borderId="0" xfId="0" applyFont="1" applyAlignment="1">
      <alignment/>
    </xf>
    <xf numFmtId="203" fontId="35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194" fontId="34" fillId="0" borderId="0" xfId="15" applyFont="1" applyAlignment="1">
      <alignment/>
    </xf>
    <xf numFmtId="0" fontId="34" fillId="0" borderId="2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 quotePrefix="1">
      <alignment horizontal="center"/>
    </xf>
    <xf numFmtId="2" fontId="34" fillId="0" borderId="0" xfId="0" applyNumberFormat="1" applyFont="1" applyAlignment="1">
      <alignment/>
    </xf>
    <xf numFmtId="203" fontId="34" fillId="0" borderId="0" xfId="0" applyNumberFormat="1" applyFont="1" applyAlignment="1" quotePrefix="1">
      <alignment horizontal="right"/>
    </xf>
    <xf numFmtId="203" fontId="34" fillId="0" borderId="0" xfId="0" applyNumberFormat="1" applyFont="1" applyAlignment="1">
      <alignment horizontal="right"/>
    </xf>
    <xf numFmtId="14" fontId="34" fillId="0" borderId="0" xfId="0" applyNumberFormat="1" applyFont="1" applyAlignment="1" quotePrefix="1">
      <alignment horizontal="right"/>
    </xf>
    <xf numFmtId="194" fontId="32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32" xfId="0" applyFont="1" applyBorder="1" applyAlignment="1">
      <alignment/>
    </xf>
    <xf numFmtId="0" fontId="36" fillId="0" borderId="0" xfId="0" applyFont="1" applyAlignment="1">
      <alignment/>
    </xf>
    <xf numFmtId="0" fontId="32" fillId="0" borderId="25" xfId="0" applyFont="1" applyBorder="1" applyAlignment="1">
      <alignment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/>
    </xf>
    <xf numFmtId="0" fontId="36" fillId="0" borderId="0" xfId="0" applyFont="1" applyAlignment="1">
      <alignment horizontal="center"/>
    </xf>
    <xf numFmtId="194" fontId="17" fillId="0" borderId="0" xfId="0" applyNumberFormat="1" applyFont="1" applyAlignment="1">
      <alignment horizontal="center"/>
    </xf>
    <xf numFmtId="194" fontId="11" fillId="2" borderId="0" xfId="0" applyNumberFormat="1" applyFont="1" applyFill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Font="1" applyBorder="1" applyAlignment="1" quotePrefix="1">
      <alignment horizontal="center"/>
    </xf>
    <xf numFmtId="194" fontId="0" fillId="0" borderId="7" xfId="15" applyFont="1" applyBorder="1" applyAlignment="1">
      <alignment/>
    </xf>
    <xf numFmtId="194" fontId="0" fillId="0" borderId="2" xfId="15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/>
    </xf>
    <xf numFmtId="0" fontId="37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12" fontId="14" fillId="0" borderId="28" xfId="0" applyNumberFormat="1" applyFont="1" applyBorder="1" applyAlignment="1">
      <alignment horizontal="center"/>
    </xf>
    <xf numFmtId="194" fontId="9" fillId="0" borderId="0" xfId="0" applyNumberFormat="1" applyFont="1" applyAlignment="1">
      <alignment/>
    </xf>
    <xf numFmtId="194" fontId="9" fillId="4" borderId="13" xfId="15" applyFont="1" applyFill="1" applyBorder="1" applyAlignment="1">
      <alignment/>
    </xf>
    <xf numFmtId="0" fontId="11" fillId="0" borderId="2" xfId="0" applyFont="1" applyBorder="1" applyAlignment="1">
      <alignment horizontal="center"/>
    </xf>
    <xf numFmtId="194" fontId="7" fillId="0" borderId="15" xfId="0" applyNumberFormat="1" applyFont="1" applyBorder="1" applyAlignment="1">
      <alignment horizontal="center"/>
    </xf>
    <xf numFmtId="194" fontId="11" fillId="4" borderId="13" xfId="15" applyFont="1" applyFill="1" applyBorder="1" applyAlignment="1">
      <alignment/>
    </xf>
    <xf numFmtId="194" fontId="0" fillId="0" borderId="0" xfId="15" applyFont="1" applyAlignment="1">
      <alignment/>
    </xf>
    <xf numFmtId="194" fontId="7" fillId="0" borderId="34" xfId="15" applyFont="1" applyBorder="1" applyAlignment="1">
      <alignment/>
    </xf>
    <xf numFmtId="194" fontId="11" fillId="0" borderId="13" xfId="15" applyFont="1" applyFill="1" applyBorder="1" applyAlignment="1">
      <alignment/>
    </xf>
    <xf numFmtId="194" fontId="9" fillId="0" borderId="13" xfId="15" applyFont="1" applyFill="1" applyBorder="1" applyAlignment="1">
      <alignment/>
    </xf>
    <xf numFmtId="0" fontId="1" fillId="0" borderId="0" xfId="0" applyFont="1" applyAlignment="1">
      <alignment/>
    </xf>
    <xf numFmtId="194" fontId="23" fillId="0" borderId="35" xfId="15" applyFont="1" applyBorder="1" applyAlignment="1">
      <alignment/>
    </xf>
    <xf numFmtId="194" fontId="23" fillId="0" borderId="36" xfId="15" applyFont="1" applyBorder="1" applyAlignment="1">
      <alignment/>
    </xf>
    <xf numFmtId="0" fontId="24" fillId="0" borderId="0" xfId="0" applyFont="1" applyAlignment="1">
      <alignment/>
    </xf>
    <xf numFmtId="194" fontId="24" fillId="0" borderId="13" xfId="15" applyFont="1" applyBorder="1" applyAlignment="1">
      <alignment/>
    </xf>
    <xf numFmtId="194" fontId="41" fillId="0" borderId="37" xfId="15" applyFont="1" applyBorder="1" applyAlignment="1">
      <alignment/>
    </xf>
    <xf numFmtId="0" fontId="24" fillId="0" borderId="0" xfId="0" applyFont="1" applyAlignment="1">
      <alignment/>
    </xf>
    <xf numFmtId="194" fontId="24" fillId="0" borderId="38" xfId="15" applyFont="1" applyBorder="1" applyAlignment="1">
      <alignment/>
    </xf>
    <xf numFmtId="194" fontId="41" fillId="0" borderId="38" xfId="15" applyFont="1" applyBorder="1" applyAlignment="1">
      <alignment/>
    </xf>
    <xf numFmtId="0" fontId="24" fillId="0" borderId="0" xfId="0" applyFont="1" applyAlignment="1">
      <alignment horizontal="center"/>
    </xf>
    <xf numFmtId="0" fontId="42" fillId="0" borderId="0" xfId="0" applyFont="1" applyAlignment="1">
      <alignment/>
    </xf>
    <xf numFmtId="194" fontId="41" fillId="0" borderId="13" xfId="15" applyFont="1" applyBorder="1" applyAlignment="1">
      <alignment/>
    </xf>
    <xf numFmtId="0" fontId="24" fillId="0" borderId="39" xfId="0" applyFont="1" applyBorder="1" applyAlignment="1">
      <alignment horizontal="center"/>
    </xf>
    <xf numFmtId="0" fontId="24" fillId="0" borderId="39" xfId="0" applyFont="1" applyBorder="1" applyAlignment="1">
      <alignment/>
    </xf>
    <xf numFmtId="194" fontId="24" fillId="0" borderId="40" xfId="15" applyFont="1" applyBorder="1" applyAlignment="1">
      <alignment/>
    </xf>
    <xf numFmtId="194" fontId="24" fillId="0" borderId="41" xfId="15" applyFont="1" applyBorder="1" applyAlignment="1">
      <alignment/>
    </xf>
    <xf numFmtId="0" fontId="24" fillId="0" borderId="39" xfId="0" applyFont="1" applyBorder="1" applyAlignment="1">
      <alignment/>
    </xf>
    <xf numFmtId="194" fontId="24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5" fillId="0" borderId="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94" fontId="43" fillId="0" borderId="8" xfId="15" applyFont="1" applyBorder="1" applyAlignment="1">
      <alignment horizontal="center" vertical="center"/>
    </xf>
    <xf numFmtId="194" fontId="43" fillId="0" borderId="13" xfId="15" applyFont="1" applyBorder="1" applyAlignment="1">
      <alignment/>
    </xf>
    <xf numFmtId="194" fontId="43" fillId="0" borderId="13" xfId="15" applyFont="1" applyBorder="1" applyAlignment="1">
      <alignment horizontal="center"/>
    </xf>
    <xf numFmtId="194" fontId="43" fillId="0" borderId="6" xfId="15" applyFont="1" applyBorder="1" applyAlignment="1">
      <alignment/>
    </xf>
    <xf numFmtId="194" fontId="43" fillId="0" borderId="8" xfId="15" applyFont="1" applyBorder="1" applyAlignment="1">
      <alignment/>
    </xf>
    <xf numFmtId="194" fontId="43" fillId="0" borderId="8" xfId="15" applyFont="1" applyBorder="1" applyAlignment="1">
      <alignment horizontal="center"/>
    </xf>
    <xf numFmtId="194" fontId="43" fillId="0" borderId="0" xfId="15" applyFont="1" applyAlignment="1">
      <alignment/>
    </xf>
    <xf numFmtId="194" fontId="43" fillId="0" borderId="0" xfId="15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94" fontId="6" fillId="0" borderId="0" xfId="15" applyFont="1" applyAlignment="1">
      <alignment/>
    </xf>
    <xf numFmtId="194" fontId="6" fillId="0" borderId="0" xfId="15" applyFont="1" applyAlignment="1">
      <alignment horizont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94" fontId="24" fillId="0" borderId="0" xfId="15" applyFont="1" applyAlignment="1">
      <alignment vertical="center"/>
    </xf>
    <xf numFmtId="194" fontId="24" fillId="0" borderId="0" xfId="15" applyFont="1" applyAlignment="1">
      <alignment horizontal="center" vertical="center"/>
    </xf>
    <xf numFmtId="0" fontId="1" fillId="0" borderId="0" xfId="0" applyFont="1" applyAlignment="1">
      <alignment horizontal="center"/>
    </xf>
    <xf numFmtId="194" fontId="41" fillId="0" borderId="15" xfId="15" applyFont="1" applyBorder="1" applyAlignment="1">
      <alignment/>
    </xf>
    <xf numFmtId="0" fontId="24" fillId="0" borderId="13" xfId="0" applyFont="1" applyBorder="1" applyAlignment="1">
      <alignment/>
    </xf>
    <xf numFmtId="0" fontId="45" fillId="0" borderId="0" xfId="0" applyFont="1" applyAlignment="1">
      <alignment/>
    </xf>
    <xf numFmtId="194" fontId="45" fillId="0" borderId="6" xfId="15" applyFont="1" applyBorder="1" applyAlignment="1">
      <alignment/>
    </xf>
    <xf numFmtId="194" fontId="45" fillId="0" borderId="6" xfId="15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/>
    </xf>
    <xf numFmtId="194" fontId="45" fillId="0" borderId="0" xfId="15" applyFont="1" applyAlignment="1">
      <alignment/>
    </xf>
    <xf numFmtId="194" fontId="45" fillId="0" borderId="0" xfId="15" applyFont="1" applyAlignment="1">
      <alignment horizontal="center"/>
    </xf>
    <xf numFmtId="0" fontId="23" fillId="0" borderId="0" xfId="0" applyFont="1" applyAlignment="1">
      <alignment/>
    </xf>
    <xf numFmtId="194" fontId="23" fillId="0" borderId="42" xfId="0" applyNumberFormat="1" applyFont="1" applyBorder="1" applyAlignment="1">
      <alignment/>
    </xf>
    <xf numFmtId="194" fontId="23" fillId="0" borderId="43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94" fontId="0" fillId="0" borderId="2" xfId="15" applyBorder="1" applyAlignment="1">
      <alignment horizontal="center" vertical="center"/>
    </xf>
    <xf numFmtId="194" fontId="0" fillId="0" borderId="0" xfId="15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94" fontId="0" fillId="0" borderId="6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44" xfId="0" applyFont="1" applyBorder="1" applyAlignment="1">
      <alignment/>
    </xf>
    <xf numFmtId="0" fontId="32" fillId="0" borderId="45" xfId="0" applyFont="1" applyBorder="1" applyAlignment="1">
      <alignment/>
    </xf>
    <xf numFmtId="194" fontId="47" fillId="0" borderId="19" xfId="15" applyFont="1" applyBorder="1" applyAlignment="1">
      <alignment/>
    </xf>
    <xf numFmtId="0" fontId="47" fillId="0" borderId="19" xfId="0" applyFont="1" applyBorder="1" applyAlignment="1">
      <alignment/>
    </xf>
    <xf numFmtId="0" fontId="18" fillId="0" borderId="19" xfId="0" applyFont="1" applyBorder="1" applyAlignment="1">
      <alignment/>
    </xf>
    <xf numFmtId="194" fontId="18" fillId="0" borderId="19" xfId="15" applyFont="1" applyBorder="1" applyAlignment="1">
      <alignment/>
    </xf>
    <xf numFmtId="0" fontId="18" fillId="0" borderId="0" xfId="0" applyFont="1" applyAlignment="1">
      <alignment/>
    </xf>
    <xf numFmtId="0" fontId="17" fillId="0" borderId="28" xfId="0" applyFont="1" applyBorder="1" applyAlignment="1">
      <alignment/>
    </xf>
    <xf numFmtId="0" fontId="36" fillId="0" borderId="1" xfId="0" applyFont="1" applyBorder="1" applyAlignment="1">
      <alignment/>
    </xf>
    <xf numFmtId="194" fontId="48" fillId="0" borderId="2" xfId="15" applyFont="1" applyBorder="1" applyAlignment="1">
      <alignment/>
    </xf>
    <xf numFmtId="0" fontId="48" fillId="0" borderId="2" xfId="0" applyFont="1" applyBorder="1" applyAlignment="1">
      <alignment/>
    </xf>
    <xf numFmtId="194" fontId="48" fillId="0" borderId="2" xfId="0" applyNumberFormat="1" applyFont="1" applyBorder="1" applyAlignment="1">
      <alignment/>
    </xf>
    <xf numFmtId="0" fontId="17" fillId="0" borderId="2" xfId="0" applyFont="1" applyBorder="1" applyAlignment="1">
      <alignment/>
    </xf>
    <xf numFmtId="194" fontId="17" fillId="0" borderId="2" xfId="15" applyFont="1" applyBorder="1" applyAlignment="1">
      <alignment/>
    </xf>
    <xf numFmtId="194" fontId="17" fillId="0" borderId="0" xfId="0" applyNumberFormat="1" applyFont="1" applyAlignment="1">
      <alignment/>
    </xf>
    <xf numFmtId="0" fontId="17" fillId="0" borderId="29" xfId="0" applyFont="1" applyBorder="1" applyAlignment="1">
      <alignment/>
    </xf>
    <xf numFmtId="0" fontId="36" fillId="0" borderId="3" xfId="0" applyFont="1" applyBorder="1" applyAlignment="1">
      <alignment/>
    </xf>
    <xf numFmtId="194" fontId="48" fillId="0" borderId="4" xfId="15" applyFont="1" applyBorder="1" applyAlignment="1">
      <alignment/>
    </xf>
    <xf numFmtId="194" fontId="48" fillId="0" borderId="4" xfId="0" applyNumberFormat="1" applyFont="1" applyBorder="1" applyAlignment="1">
      <alignment/>
    </xf>
    <xf numFmtId="0" fontId="17" fillId="0" borderId="4" xfId="0" applyFont="1" applyBorder="1" applyAlignment="1">
      <alignment/>
    </xf>
    <xf numFmtId="194" fontId="17" fillId="0" borderId="4" xfId="15" applyFont="1" applyBorder="1" applyAlignment="1">
      <alignment/>
    </xf>
    <xf numFmtId="0" fontId="17" fillId="0" borderId="27" xfId="0" applyFont="1" applyBorder="1" applyAlignment="1">
      <alignment/>
    </xf>
    <xf numFmtId="0" fontId="36" fillId="0" borderId="5" xfId="0" applyFont="1" applyBorder="1" applyAlignment="1">
      <alignment/>
    </xf>
    <xf numFmtId="194" fontId="48" fillId="0" borderId="7" xfId="15" applyFont="1" applyBorder="1" applyAlignment="1">
      <alignment/>
    </xf>
    <xf numFmtId="194" fontId="48" fillId="0" borderId="7" xfId="0" applyNumberFormat="1" applyFont="1" applyBorder="1" applyAlignment="1">
      <alignment/>
    </xf>
    <xf numFmtId="0" fontId="17" fillId="0" borderId="7" xfId="0" applyFont="1" applyBorder="1" applyAlignment="1">
      <alignment/>
    </xf>
    <xf numFmtId="194" fontId="17" fillId="0" borderId="7" xfId="15" applyFont="1" applyBorder="1" applyAlignment="1">
      <alignment/>
    </xf>
    <xf numFmtId="0" fontId="17" fillId="0" borderId="30" xfId="0" applyFont="1" applyBorder="1" applyAlignment="1">
      <alignment/>
    </xf>
    <xf numFmtId="0" fontId="36" fillId="0" borderId="46" xfId="0" applyFont="1" applyBorder="1" applyAlignment="1">
      <alignment/>
    </xf>
    <xf numFmtId="194" fontId="48" fillId="0" borderId="18" xfId="15" applyFont="1" applyBorder="1" applyAlignment="1">
      <alignment/>
    </xf>
    <xf numFmtId="0" fontId="48" fillId="0" borderId="18" xfId="0" applyFont="1" applyBorder="1" applyAlignment="1">
      <alignment/>
    </xf>
    <xf numFmtId="0" fontId="17" fillId="0" borderId="18" xfId="0" applyFont="1" applyBorder="1" applyAlignment="1">
      <alignment/>
    </xf>
    <xf numFmtId="194" fontId="17" fillId="0" borderId="18" xfId="15" applyFont="1" applyBorder="1" applyAlignment="1">
      <alignment/>
    </xf>
    <xf numFmtId="194" fontId="47" fillId="0" borderId="6" xfId="15" applyFont="1" applyBorder="1" applyAlignment="1">
      <alignment/>
    </xf>
    <xf numFmtId="0" fontId="18" fillId="0" borderId="6" xfId="0" applyFont="1" applyBorder="1" applyAlignment="1">
      <alignment/>
    </xf>
    <xf numFmtId="0" fontId="36" fillId="0" borderId="0" xfId="0" applyFont="1" applyAlignment="1">
      <alignment/>
    </xf>
    <xf numFmtId="194" fontId="48" fillId="0" borderId="23" xfId="15" applyFont="1" applyBorder="1" applyAlignment="1">
      <alignment/>
    </xf>
    <xf numFmtId="0" fontId="48" fillId="0" borderId="0" xfId="0" applyFont="1" applyAlignment="1">
      <alignment/>
    </xf>
    <xf numFmtId="194" fontId="17" fillId="0" borderId="0" xfId="15" applyFont="1" applyAlignment="1">
      <alignment/>
    </xf>
    <xf numFmtId="194" fontId="48" fillId="0" borderId="0" xfId="15" applyFont="1" applyBorder="1" applyAlignment="1">
      <alignment/>
    </xf>
    <xf numFmtId="0" fontId="49" fillId="0" borderId="0" xfId="0" applyFont="1" applyAlignment="1">
      <alignment/>
    </xf>
    <xf numFmtId="194" fontId="49" fillId="0" borderId="0" xfId="15" applyFont="1" applyAlignment="1">
      <alignment/>
    </xf>
    <xf numFmtId="194" fontId="5" fillId="0" borderId="0" xfId="0" applyNumberFormat="1" applyFont="1" applyAlignment="1">
      <alignment/>
    </xf>
    <xf numFmtId="194" fontId="48" fillId="0" borderId="18" xfId="0" applyNumberFormat="1" applyFont="1" applyBorder="1" applyAlignment="1">
      <alignment/>
    </xf>
    <xf numFmtId="0" fontId="18" fillId="0" borderId="27" xfId="0" applyFont="1" applyBorder="1" applyAlignment="1">
      <alignment/>
    </xf>
    <xf numFmtId="0" fontId="32" fillId="0" borderId="5" xfId="0" applyFont="1" applyBorder="1" applyAlignment="1">
      <alignment/>
    </xf>
    <xf numFmtId="194" fontId="47" fillId="0" borderId="7" xfId="15" applyFont="1" applyBorder="1" applyAlignment="1">
      <alignment/>
    </xf>
    <xf numFmtId="0" fontId="47" fillId="0" borderId="7" xfId="0" applyFont="1" applyBorder="1" applyAlignment="1">
      <alignment/>
    </xf>
    <xf numFmtId="0" fontId="18" fillId="0" borderId="7" xfId="0" applyFont="1" applyBorder="1" applyAlignment="1">
      <alignment/>
    </xf>
    <xf numFmtId="194" fontId="18" fillId="0" borderId="7" xfId="15" applyFont="1" applyBorder="1" applyAlignment="1">
      <alignment/>
    </xf>
    <xf numFmtId="0" fontId="48" fillId="0" borderId="7" xfId="0" applyFont="1" applyBorder="1" applyAlignment="1">
      <alignment/>
    </xf>
    <xf numFmtId="0" fontId="48" fillId="0" borderId="4" xfId="0" applyFont="1" applyBorder="1" applyAlignment="1">
      <alignment/>
    </xf>
    <xf numFmtId="194" fontId="48" fillId="0" borderId="0" xfId="0" applyNumberFormat="1" applyFont="1" applyAlignment="1">
      <alignment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1" fillId="0" borderId="6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25" xfId="0" applyBorder="1" applyAlignment="1">
      <alignment horizontal="center" vertical="top"/>
    </xf>
    <xf numFmtId="0" fontId="7" fillId="0" borderId="4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5" fillId="0" borderId="33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194" fontId="23" fillId="0" borderId="8" xfId="15" applyFont="1" applyBorder="1" applyAlignment="1">
      <alignment horizontal="center" vertical="center"/>
    </xf>
    <xf numFmtId="194" fontId="23" fillId="0" borderId="13" xfId="15" applyFont="1" applyBorder="1" applyAlignment="1">
      <alignment horizontal="center" vertical="center"/>
    </xf>
    <xf numFmtId="194" fontId="23" fillId="0" borderId="14" xfId="15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9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94" fontId="18" fillId="0" borderId="8" xfId="15" applyFont="1" applyBorder="1" applyAlignment="1">
      <alignment horizontal="center" vertical="center"/>
    </xf>
    <xf numFmtId="194" fontId="18" fillId="0" borderId="14" xfId="15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203" fontId="18" fillId="0" borderId="0" xfId="0" applyNumberFormat="1" applyFont="1" applyAlignment="1">
      <alignment horizontal="center"/>
    </xf>
    <xf numFmtId="0" fontId="3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35;&#3648;&#3609;&#3634;&#3586;&#3629;&#3591;%20&#3591;&#3610;&#3648;&#3604;&#3639;&#3629;&#3609;%20&#3611;&#3637;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ทดลอง"/>
      <sheetName val="1"/>
      <sheetName val="2"/>
      <sheetName val="3"/>
      <sheetName val="4"/>
      <sheetName val="5"/>
      <sheetName val="รับ-จ่าย ก.ค."/>
      <sheetName val="รับจ่าย งส."/>
      <sheetName val="กระทบยอด"/>
      <sheetName val="รับจ่าย พ.ค.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22">
      <selection activeCell="A1" sqref="A1:IV16384"/>
    </sheetView>
  </sheetViews>
  <sheetFormatPr defaultColWidth="9.140625" defaultRowHeight="21.75"/>
  <cols>
    <col min="1" max="1" width="4.28125" style="293" customWidth="1"/>
    <col min="2" max="2" width="46.8515625" style="293" customWidth="1"/>
    <col min="3" max="4" width="14.28125" style="293" customWidth="1"/>
    <col min="5" max="5" width="3.28125" style="334" customWidth="1"/>
    <col min="6" max="6" width="13.28125" style="293" customWidth="1"/>
    <col min="7" max="16384" width="16.28125" style="293" customWidth="1"/>
  </cols>
  <sheetData>
    <row r="1" spans="1:6" s="313" customFormat="1" ht="21.75">
      <c r="A1" s="436" t="s">
        <v>347</v>
      </c>
      <c r="B1" s="436"/>
      <c r="C1" s="436"/>
      <c r="D1" s="436"/>
      <c r="E1" s="436"/>
      <c r="F1" s="436"/>
    </row>
    <row r="2" spans="1:6" s="313" customFormat="1" ht="25.5">
      <c r="A2" s="437" t="s">
        <v>386</v>
      </c>
      <c r="B2" s="437"/>
      <c r="C2" s="437"/>
      <c r="D2" s="437"/>
      <c r="E2" s="437"/>
      <c r="F2" s="437"/>
    </row>
    <row r="3" spans="1:6" s="313" customFormat="1" ht="21.75">
      <c r="A3" s="436" t="s">
        <v>382</v>
      </c>
      <c r="B3" s="436"/>
      <c r="C3" s="436"/>
      <c r="D3" s="436"/>
      <c r="E3" s="436"/>
      <c r="F3" s="436"/>
    </row>
    <row r="4" spans="1:6" s="315" customFormat="1" ht="18.75" customHeight="1">
      <c r="A4" s="429" t="s">
        <v>2</v>
      </c>
      <c r="B4" s="430"/>
      <c r="C4" s="431" t="s">
        <v>348</v>
      </c>
      <c r="D4" s="430" t="s">
        <v>349</v>
      </c>
      <c r="E4" s="314" t="s">
        <v>350</v>
      </c>
      <c r="F4" s="314" t="s">
        <v>351</v>
      </c>
    </row>
    <row r="5" spans="1:6" s="315" customFormat="1" ht="18.75" customHeight="1">
      <c r="A5" s="429"/>
      <c r="B5" s="430"/>
      <c r="C5" s="432"/>
      <c r="D5" s="430"/>
      <c r="E5" s="316" t="s">
        <v>330</v>
      </c>
      <c r="F5" s="316" t="s">
        <v>352</v>
      </c>
    </row>
    <row r="6" spans="1:6" s="317" customFormat="1" ht="21" customHeight="1">
      <c r="A6" s="342" t="s">
        <v>353</v>
      </c>
      <c r="C6" s="318"/>
      <c r="D6" s="318"/>
      <c r="E6" s="318"/>
      <c r="F6" s="318"/>
    </row>
    <row r="7" spans="2:6" s="313" customFormat="1" ht="21" customHeight="1">
      <c r="B7" s="313" t="s">
        <v>354</v>
      </c>
      <c r="C7" s="319">
        <f>68000+35000+2000</f>
        <v>105000</v>
      </c>
      <c r="D7" s="319">
        <f>67517.3+32372.21+2000+5310</f>
        <v>107199.51000000001</v>
      </c>
      <c r="E7" s="320" t="s">
        <v>350</v>
      </c>
      <c r="F7" s="319">
        <f>+D7-C7</f>
        <v>2199.5100000000093</v>
      </c>
    </row>
    <row r="8" spans="2:6" s="313" customFormat="1" ht="21" customHeight="1">
      <c r="B8" s="313" t="s">
        <v>355</v>
      </c>
      <c r="C8" s="319">
        <f>2000+50000</f>
        <v>52000</v>
      </c>
      <c r="D8" s="319">
        <f>814.8+800+45302</f>
        <v>46916.8</v>
      </c>
      <c r="E8" s="320" t="s">
        <v>330</v>
      </c>
      <c r="F8" s="319">
        <f aca="true" t="shared" si="0" ref="F8:F14">+D8-C8</f>
        <v>-5083.199999999997</v>
      </c>
    </row>
    <row r="9" spans="2:6" s="313" customFormat="1" ht="21" customHeight="1">
      <c r="B9" s="313" t="s">
        <v>356</v>
      </c>
      <c r="C9" s="319">
        <f>2000+35000</f>
        <v>37000</v>
      </c>
      <c r="D9" s="319">
        <f>2400+47236.63</f>
        <v>49636.63</v>
      </c>
      <c r="E9" s="320" t="s">
        <v>350</v>
      </c>
      <c r="F9" s="319">
        <f t="shared" si="0"/>
        <v>12636.629999999997</v>
      </c>
    </row>
    <row r="10" spans="2:6" s="313" customFormat="1" ht="21" customHeight="1">
      <c r="B10" s="313" t="s">
        <v>357</v>
      </c>
      <c r="C10" s="319">
        <v>0</v>
      </c>
      <c r="D10" s="319">
        <v>0</v>
      </c>
      <c r="E10" s="320"/>
      <c r="F10" s="319">
        <f t="shared" si="0"/>
        <v>0</v>
      </c>
    </row>
    <row r="11" spans="2:6" s="313" customFormat="1" ht="21" customHeight="1">
      <c r="B11" s="313" t="s">
        <v>48</v>
      </c>
      <c r="C11" s="319">
        <v>150000</v>
      </c>
      <c r="D11" s="319">
        <v>122600</v>
      </c>
      <c r="E11" s="320" t="s">
        <v>330</v>
      </c>
      <c r="F11" s="319">
        <f t="shared" si="0"/>
        <v>-27400</v>
      </c>
    </row>
    <row r="12" spans="2:6" s="313" customFormat="1" ht="21" customHeight="1">
      <c r="B12" s="313" t="s">
        <v>358</v>
      </c>
      <c r="C12" s="319">
        <v>0</v>
      </c>
      <c r="D12" s="319">
        <v>0</v>
      </c>
      <c r="E12" s="320"/>
      <c r="F12" s="319">
        <f t="shared" si="0"/>
        <v>0</v>
      </c>
    </row>
    <row r="13" spans="2:6" s="313" customFormat="1" ht="21" customHeight="1">
      <c r="B13" s="313" t="s">
        <v>116</v>
      </c>
      <c r="C13" s="319">
        <f>3687335+1104500+5000+70000+500000+1289430+35000+180000</f>
        <v>6871265</v>
      </c>
      <c r="D13" s="319">
        <f>4154878.82+1288033.9+70514.98+535847.36+1398267.85+44859.34+24872.86+198157+3060</f>
        <v>7718492.11</v>
      </c>
      <c r="E13" s="320" t="s">
        <v>350</v>
      </c>
      <c r="F13" s="319">
        <f t="shared" si="0"/>
        <v>847227.1100000003</v>
      </c>
    </row>
    <row r="14" spans="2:6" s="313" customFormat="1" ht="21" customHeight="1">
      <c r="B14" s="313" t="s">
        <v>359</v>
      </c>
      <c r="C14" s="319">
        <v>3917165</v>
      </c>
      <c r="D14" s="319">
        <v>3917165</v>
      </c>
      <c r="E14" s="320"/>
      <c r="F14" s="319">
        <f t="shared" si="0"/>
        <v>0</v>
      </c>
    </row>
    <row r="15" spans="1:6" s="337" customFormat="1" ht="21" customHeight="1">
      <c r="A15" s="337" t="s">
        <v>360</v>
      </c>
      <c r="C15" s="338">
        <f>SUM(C7:C14)</f>
        <v>11132430</v>
      </c>
      <c r="D15" s="338">
        <f>SUM(D7:D14)</f>
        <v>11962010.05</v>
      </c>
      <c r="E15" s="339" t="s">
        <v>361</v>
      </c>
      <c r="F15" s="338">
        <f>SUM(F7:F14)</f>
        <v>829580.0500000004</v>
      </c>
    </row>
    <row r="16" spans="2:5" s="313" customFormat="1" ht="21" customHeight="1">
      <c r="B16" s="313" t="s">
        <v>362</v>
      </c>
      <c r="D16" s="321">
        <v>3879737</v>
      </c>
      <c r="E16" s="312"/>
    </row>
    <row r="17" spans="1:5" s="337" customFormat="1" ht="21" customHeight="1">
      <c r="A17" s="337" t="s">
        <v>363</v>
      </c>
      <c r="D17" s="338">
        <f>SUM(D16)</f>
        <v>3879737</v>
      </c>
      <c r="E17" s="343"/>
    </row>
    <row r="18" spans="2:5" s="337" customFormat="1" ht="21" customHeight="1">
      <c r="B18" s="337" t="s">
        <v>364</v>
      </c>
      <c r="D18" s="338">
        <f>+D15+D17</f>
        <v>15841747.05</v>
      </c>
      <c r="E18" s="343"/>
    </row>
    <row r="19" s="313" customFormat="1" ht="7.5" customHeight="1">
      <c r="E19" s="312"/>
    </row>
    <row r="20" spans="1:6" s="315" customFormat="1" ht="18.75" customHeight="1">
      <c r="A20" s="429" t="s">
        <v>2</v>
      </c>
      <c r="B20" s="430"/>
      <c r="C20" s="431" t="s">
        <v>365</v>
      </c>
      <c r="D20" s="430" t="s">
        <v>366</v>
      </c>
      <c r="E20" s="314" t="s">
        <v>350</v>
      </c>
      <c r="F20" s="314" t="s">
        <v>351</v>
      </c>
    </row>
    <row r="21" spans="1:6" s="315" customFormat="1" ht="18.75" customHeight="1">
      <c r="A21" s="429"/>
      <c r="B21" s="430"/>
      <c r="C21" s="432"/>
      <c r="D21" s="430"/>
      <c r="E21" s="316" t="s">
        <v>330</v>
      </c>
      <c r="F21" s="316" t="s">
        <v>352</v>
      </c>
    </row>
    <row r="22" spans="1:6" s="313" customFormat="1" ht="21" customHeight="1">
      <c r="A22" s="337" t="s">
        <v>367</v>
      </c>
      <c r="C22" s="322"/>
      <c r="D22" s="322"/>
      <c r="E22" s="323"/>
      <c r="F22" s="322"/>
    </row>
    <row r="23" spans="2:6" s="313" customFormat="1" ht="21" customHeight="1">
      <c r="B23" s="313" t="s">
        <v>368</v>
      </c>
      <c r="C23" s="319">
        <v>800000</v>
      </c>
      <c r="D23" s="319">
        <v>790137.84</v>
      </c>
      <c r="E23" s="320" t="s">
        <v>330</v>
      </c>
      <c r="F23" s="319">
        <f>+D23-C23</f>
        <v>-9862.160000000033</v>
      </c>
    </row>
    <row r="24" spans="2:6" s="313" customFormat="1" ht="21" customHeight="1">
      <c r="B24" s="313" t="s">
        <v>369</v>
      </c>
      <c r="C24" s="319">
        <v>1769918</v>
      </c>
      <c r="D24" s="319">
        <v>1748217.35</v>
      </c>
      <c r="E24" s="320" t="s">
        <v>330</v>
      </c>
      <c r="F24" s="319">
        <f aca="true" t="shared" si="1" ref="F24:F34">+D24-C24</f>
        <v>-21700.649999999907</v>
      </c>
    </row>
    <row r="25" spans="2:6" s="313" customFormat="1" ht="21" customHeight="1">
      <c r="B25" s="313" t="s">
        <v>370</v>
      </c>
      <c r="C25" s="319">
        <v>208930</v>
      </c>
      <c r="D25" s="319">
        <v>206450</v>
      </c>
      <c r="E25" s="320" t="s">
        <v>330</v>
      </c>
      <c r="F25" s="319">
        <f t="shared" si="1"/>
        <v>-2480</v>
      </c>
    </row>
    <row r="26" spans="2:6" s="313" customFormat="1" ht="21" customHeight="1">
      <c r="B26" s="313" t="s">
        <v>371</v>
      </c>
      <c r="C26" s="319">
        <v>34160</v>
      </c>
      <c r="D26" s="319">
        <v>34160</v>
      </c>
      <c r="E26" s="320"/>
      <c r="F26" s="319">
        <f t="shared" si="1"/>
        <v>0</v>
      </c>
    </row>
    <row r="27" spans="2:6" s="313" customFormat="1" ht="21" customHeight="1">
      <c r="B27" s="313" t="s">
        <v>372</v>
      </c>
      <c r="C27" s="319">
        <v>1151858</v>
      </c>
      <c r="D27" s="319">
        <v>1092111.5</v>
      </c>
      <c r="E27" s="320" t="s">
        <v>330</v>
      </c>
      <c r="F27" s="319">
        <f t="shared" si="1"/>
        <v>-59746.5</v>
      </c>
    </row>
    <row r="28" spans="2:6" s="313" customFormat="1" ht="21" customHeight="1">
      <c r="B28" s="313" t="s">
        <v>373</v>
      </c>
      <c r="C28" s="319">
        <v>901544</v>
      </c>
      <c r="D28" s="319">
        <v>829913.38</v>
      </c>
      <c r="E28" s="320" t="s">
        <v>330</v>
      </c>
      <c r="F28" s="319">
        <f t="shared" si="1"/>
        <v>-71630.62</v>
      </c>
    </row>
    <row r="29" spans="2:6" s="313" customFormat="1" ht="21" customHeight="1">
      <c r="B29" s="313" t="s">
        <v>374</v>
      </c>
      <c r="C29" s="319">
        <v>233000</v>
      </c>
      <c r="D29" s="319">
        <v>172298.4</v>
      </c>
      <c r="E29" s="320" t="s">
        <v>330</v>
      </c>
      <c r="F29" s="319">
        <f t="shared" si="1"/>
        <v>-60701.600000000006</v>
      </c>
    </row>
    <row r="30" spans="2:6" s="313" customFormat="1" ht="21" customHeight="1">
      <c r="B30" s="313" t="s">
        <v>375</v>
      </c>
      <c r="C30" s="319">
        <v>77076</v>
      </c>
      <c r="D30" s="319">
        <v>68566.76</v>
      </c>
      <c r="E30" s="320" t="s">
        <v>330</v>
      </c>
      <c r="F30" s="319">
        <f t="shared" si="1"/>
        <v>-8509.240000000005</v>
      </c>
    </row>
    <row r="31" spans="2:6" s="313" customFormat="1" ht="21" customHeight="1">
      <c r="B31" s="313" t="s">
        <v>359</v>
      </c>
      <c r="C31" s="319">
        <v>261194</v>
      </c>
      <c r="D31" s="319">
        <v>247264</v>
      </c>
      <c r="E31" s="320" t="s">
        <v>330</v>
      </c>
      <c r="F31" s="319">
        <f t="shared" si="1"/>
        <v>-13930</v>
      </c>
    </row>
    <row r="32" spans="2:6" s="313" customFormat="1" ht="21" customHeight="1">
      <c r="B32" s="313" t="s">
        <v>315</v>
      </c>
      <c r="C32" s="319">
        <v>1018750</v>
      </c>
      <c r="D32" s="319">
        <v>908350.28</v>
      </c>
      <c r="E32" s="320" t="s">
        <v>330</v>
      </c>
      <c r="F32" s="319">
        <f t="shared" si="1"/>
        <v>-110399.71999999997</v>
      </c>
    </row>
    <row r="33" spans="2:6" s="313" customFormat="1" ht="21" customHeight="1">
      <c r="B33" s="313" t="s">
        <v>312</v>
      </c>
      <c r="C33" s="319">
        <v>4544000</v>
      </c>
      <c r="D33" s="319">
        <v>4498655</v>
      </c>
      <c r="E33" s="320" t="s">
        <v>330</v>
      </c>
      <c r="F33" s="319">
        <f t="shared" si="1"/>
        <v>-45345</v>
      </c>
    </row>
    <row r="34" spans="2:6" s="313" customFormat="1" ht="21" customHeight="1">
      <c r="B34" s="313" t="s">
        <v>383</v>
      </c>
      <c r="C34" s="319">
        <v>132000</v>
      </c>
      <c r="D34" s="319">
        <v>109000</v>
      </c>
      <c r="E34" s="320" t="s">
        <v>330</v>
      </c>
      <c r="F34" s="319">
        <f t="shared" si="1"/>
        <v>-23000</v>
      </c>
    </row>
    <row r="35" spans="1:6" s="337" customFormat="1" ht="21" customHeight="1">
      <c r="A35" s="337" t="s">
        <v>376</v>
      </c>
      <c r="C35" s="338">
        <f>SUM(C23:C34)</f>
        <v>11132430</v>
      </c>
      <c r="D35" s="338">
        <f>SUM(D23:D34)</f>
        <v>10705124.510000002</v>
      </c>
      <c r="E35" s="339" t="s">
        <v>330</v>
      </c>
      <c r="F35" s="338">
        <f>SUM(F23:F34)</f>
        <v>-427305.48999999993</v>
      </c>
    </row>
    <row r="36" spans="2:6" s="313" customFormat="1" ht="21" customHeight="1">
      <c r="B36" s="313" t="s">
        <v>377</v>
      </c>
      <c r="C36" s="324"/>
      <c r="D36" s="321">
        <f>283544+72944+15544+266600+121414+5888+64688+14000+768311.84+365132.88+294+205430+688668+72418+560553.46+374306.82</f>
        <v>3879736.9999999995</v>
      </c>
      <c r="E36" s="325"/>
      <c r="F36" s="324"/>
    </row>
    <row r="37" spans="2:6" s="337" customFormat="1" ht="21" customHeight="1">
      <c r="B37" s="337" t="s">
        <v>378</v>
      </c>
      <c r="C37" s="344"/>
      <c r="D37" s="338">
        <f>SUM(D35:D36)</f>
        <v>14584861.510000002</v>
      </c>
      <c r="E37" s="345"/>
      <c r="F37" s="344"/>
    </row>
    <row r="38" spans="2:6" s="326" customFormat="1" ht="12.75" customHeight="1">
      <c r="B38" s="327" t="s">
        <v>126</v>
      </c>
      <c r="C38" s="328"/>
      <c r="D38" s="433">
        <f>+D18-D37</f>
        <v>1256885.539999999</v>
      </c>
      <c r="E38" s="329"/>
      <c r="F38" s="328"/>
    </row>
    <row r="39" spans="2:6" s="330" customFormat="1" ht="18" customHeight="1">
      <c r="B39" s="331" t="s">
        <v>379</v>
      </c>
      <c r="C39" s="332"/>
      <c r="D39" s="434"/>
      <c r="E39" s="333"/>
      <c r="F39" s="332"/>
    </row>
    <row r="40" spans="2:6" s="326" customFormat="1" ht="13.5" customHeight="1">
      <c r="B40" s="327" t="s">
        <v>128</v>
      </c>
      <c r="C40" s="328"/>
      <c r="D40" s="435"/>
      <c r="E40" s="329"/>
      <c r="F40" s="328"/>
    </row>
    <row r="41" ht="20.25" customHeight="1"/>
    <row r="42" spans="2:5" s="340" customFormat="1" ht="21" customHeight="1">
      <c r="B42" s="340" t="s">
        <v>384</v>
      </c>
      <c r="E42" s="341" t="s">
        <v>142</v>
      </c>
    </row>
    <row r="43" spans="2:5" s="340" customFormat="1" ht="21" customHeight="1">
      <c r="B43" s="340" t="s">
        <v>385</v>
      </c>
      <c r="E43" s="341" t="s">
        <v>381</v>
      </c>
    </row>
  </sheetData>
  <mergeCells count="10">
    <mergeCell ref="A1:F1"/>
    <mergeCell ref="A2:F2"/>
    <mergeCell ref="A3:F3"/>
    <mergeCell ref="A4:B5"/>
    <mergeCell ref="C4:C5"/>
    <mergeCell ref="D4:D5"/>
    <mergeCell ref="A20:B21"/>
    <mergeCell ref="C20:C21"/>
    <mergeCell ref="D20:D21"/>
    <mergeCell ref="D38:D40"/>
  </mergeCells>
  <printOptions/>
  <pageMargins left="1.01" right="0.23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3">
      <selection activeCell="D17" sqref="D17"/>
    </sheetView>
  </sheetViews>
  <sheetFormatPr defaultColWidth="9.140625" defaultRowHeight="21.75"/>
  <cols>
    <col min="1" max="1" width="3.421875" style="1" customWidth="1"/>
    <col min="2" max="2" width="44.57421875" style="1" customWidth="1"/>
    <col min="3" max="4" width="14.00390625" style="1" customWidth="1"/>
    <col min="5" max="5" width="11.28125" style="1" customWidth="1"/>
    <col min="6" max="6" width="12.140625" style="1" customWidth="1"/>
    <col min="7" max="16384" width="9.140625" style="1" customWidth="1"/>
  </cols>
  <sheetData>
    <row r="1" spans="1:6" ht="24">
      <c r="A1" s="456" t="s">
        <v>0</v>
      </c>
      <c r="B1" s="456"/>
      <c r="C1" s="456"/>
      <c r="D1" s="456"/>
      <c r="E1" s="456"/>
      <c r="F1" s="456"/>
    </row>
    <row r="2" spans="1:6" ht="24">
      <c r="A2" s="455" t="s">
        <v>78</v>
      </c>
      <c r="B2" s="456"/>
      <c r="C2" s="456"/>
      <c r="D2" s="456"/>
      <c r="E2" s="456"/>
      <c r="F2" s="456"/>
    </row>
    <row r="3" spans="1:6" ht="24">
      <c r="A3" s="456" t="s">
        <v>265</v>
      </c>
      <c r="B3" s="456"/>
      <c r="C3" s="456"/>
      <c r="D3" s="456"/>
      <c r="E3" s="456"/>
      <c r="F3" s="456"/>
    </row>
    <row r="5" spans="1:6" s="2" customFormat="1" ht="27" customHeight="1">
      <c r="A5" s="17" t="s">
        <v>61</v>
      </c>
      <c r="B5" s="17" t="s">
        <v>2</v>
      </c>
      <c r="C5" s="17" t="s">
        <v>63</v>
      </c>
      <c r="D5" s="17" t="s">
        <v>52</v>
      </c>
      <c r="E5" s="17" t="s">
        <v>62</v>
      </c>
      <c r="F5" s="17" t="s">
        <v>51</v>
      </c>
    </row>
    <row r="6" spans="1:6" s="15" customFormat="1" ht="24">
      <c r="A6" s="28">
        <v>1</v>
      </c>
      <c r="B6" s="30" t="s">
        <v>74</v>
      </c>
      <c r="C6" s="155">
        <v>33500</v>
      </c>
      <c r="D6" s="155">
        <v>33500</v>
      </c>
      <c r="E6" s="90">
        <v>0</v>
      </c>
      <c r="F6" s="155">
        <f aca="true" t="shared" si="0" ref="F6:F12">+D6-E6</f>
        <v>33500</v>
      </c>
    </row>
    <row r="7" spans="1:6" ht="24">
      <c r="A7" s="19" t="s">
        <v>65</v>
      </c>
      <c r="B7" s="157" t="s">
        <v>177</v>
      </c>
      <c r="C7" s="156">
        <v>4585</v>
      </c>
      <c r="D7" s="156">
        <v>4585</v>
      </c>
      <c r="E7" s="10">
        <v>0</v>
      </c>
      <c r="F7" s="156">
        <f t="shared" si="0"/>
        <v>4585</v>
      </c>
    </row>
    <row r="8" spans="1:6" ht="24">
      <c r="A8" s="19" t="s">
        <v>66</v>
      </c>
      <c r="B8" s="157" t="s">
        <v>178</v>
      </c>
      <c r="C8" s="156">
        <v>5000</v>
      </c>
      <c r="D8" s="156">
        <v>5000</v>
      </c>
      <c r="E8" s="21">
        <v>0</v>
      </c>
      <c r="F8" s="156">
        <f t="shared" si="0"/>
        <v>5000</v>
      </c>
    </row>
    <row r="9" spans="1:6" ht="24">
      <c r="A9" s="19" t="s">
        <v>67</v>
      </c>
      <c r="B9" s="29" t="s">
        <v>179</v>
      </c>
      <c r="C9" s="156">
        <v>19500</v>
      </c>
      <c r="D9" s="156">
        <v>8250</v>
      </c>
      <c r="E9" s="21">
        <v>0</v>
      </c>
      <c r="F9" s="156">
        <f t="shared" si="0"/>
        <v>8250</v>
      </c>
    </row>
    <row r="10" spans="1:6" s="22" customFormat="1" ht="23.25">
      <c r="A10" s="19" t="s">
        <v>68</v>
      </c>
      <c r="B10" s="29" t="s">
        <v>283</v>
      </c>
      <c r="C10" s="156">
        <v>20000</v>
      </c>
      <c r="D10" s="156">
        <v>20000</v>
      </c>
      <c r="E10" s="21">
        <v>0</v>
      </c>
      <c r="F10" s="156">
        <f t="shared" si="0"/>
        <v>20000</v>
      </c>
    </row>
    <row r="11" spans="1:6" s="22" customFormat="1" ht="24">
      <c r="A11" s="19" t="s">
        <v>69</v>
      </c>
      <c r="B11" s="29" t="s">
        <v>180</v>
      </c>
      <c r="C11" s="156">
        <v>210</v>
      </c>
      <c r="D11" s="156">
        <v>210</v>
      </c>
      <c r="E11" s="10">
        <v>0</v>
      </c>
      <c r="F11" s="156">
        <f t="shared" si="0"/>
        <v>210</v>
      </c>
    </row>
    <row r="12" spans="1:6" s="22" customFormat="1" ht="24">
      <c r="A12" s="19" t="s">
        <v>70</v>
      </c>
      <c r="B12" s="29" t="s">
        <v>181</v>
      </c>
      <c r="C12" s="156">
        <v>273</v>
      </c>
      <c r="D12" s="156">
        <v>273</v>
      </c>
      <c r="E12" s="10">
        <v>0</v>
      </c>
      <c r="F12" s="156">
        <f t="shared" si="0"/>
        <v>273</v>
      </c>
    </row>
    <row r="13" spans="1:6" s="22" customFormat="1" ht="24">
      <c r="A13" s="19"/>
      <c r="B13" s="281" t="s">
        <v>293</v>
      </c>
      <c r="C13" s="156"/>
      <c r="D13" s="156"/>
      <c r="E13" s="10"/>
      <c r="F13" s="156"/>
    </row>
    <row r="14" spans="1:6" s="22" customFormat="1" ht="24">
      <c r="A14" s="19" t="s">
        <v>71</v>
      </c>
      <c r="B14" s="29" t="s">
        <v>82</v>
      </c>
      <c r="C14" s="156">
        <v>45777.82</v>
      </c>
      <c r="D14" s="156">
        <v>45777.82</v>
      </c>
      <c r="E14" s="10">
        <v>0</v>
      </c>
      <c r="F14" s="156">
        <f>+D14-E14</f>
        <v>45777.82</v>
      </c>
    </row>
    <row r="15" spans="1:6" ht="24">
      <c r="A15" s="19" t="s">
        <v>72</v>
      </c>
      <c r="B15" s="5" t="s">
        <v>292</v>
      </c>
      <c r="C15" s="10">
        <v>26450</v>
      </c>
      <c r="D15" s="10">
        <v>26450</v>
      </c>
      <c r="E15" s="5"/>
      <c r="F15" s="156">
        <f aca="true" t="shared" si="1" ref="F15:F22">+D15-E15</f>
        <v>26450</v>
      </c>
    </row>
    <row r="16" spans="1:6" ht="24">
      <c r="A16" s="19" t="s">
        <v>73</v>
      </c>
      <c r="B16" s="5" t="s">
        <v>294</v>
      </c>
      <c r="C16" s="10">
        <v>30798</v>
      </c>
      <c r="D16" s="10">
        <v>30798</v>
      </c>
      <c r="E16" s="5"/>
      <c r="F16" s="156">
        <f t="shared" si="1"/>
        <v>30798</v>
      </c>
    </row>
    <row r="17" spans="1:6" s="22" customFormat="1" ht="23.25">
      <c r="A17" s="19" t="s">
        <v>287</v>
      </c>
      <c r="B17" s="29" t="s">
        <v>295</v>
      </c>
      <c r="C17" s="21">
        <v>285</v>
      </c>
      <c r="D17" s="21">
        <v>285</v>
      </c>
      <c r="E17" s="21"/>
      <c r="F17" s="156">
        <f t="shared" si="1"/>
        <v>285</v>
      </c>
    </row>
    <row r="18" spans="1:6" s="22" customFormat="1" ht="23.25">
      <c r="A18" s="19" t="s">
        <v>288</v>
      </c>
      <c r="B18" s="20" t="s">
        <v>296</v>
      </c>
      <c r="C18" s="21">
        <v>294</v>
      </c>
      <c r="D18" s="21">
        <v>294</v>
      </c>
      <c r="E18" s="21"/>
      <c r="F18" s="156">
        <f t="shared" si="1"/>
        <v>294</v>
      </c>
    </row>
    <row r="19" spans="1:6" s="22" customFormat="1" ht="23.25">
      <c r="A19" s="19" t="s">
        <v>289</v>
      </c>
      <c r="B19" s="20" t="s">
        <v>90</v>
      </c>
      <c r="C19" s="21">
        <v>40086</v>
      </c>
      <c r="D19" s="21">
        <v>40086</v>
      </c>
      <c r="E19" s="21"/>
      <c r="F19" s="156">
        <f t="shared" si="1"/>
        <v>40086</v>
      </c>
    </row>
    <row r="20" spans="1:6" s="22" customFormat="1" ht="23.25">
      <c r="A20" s="19" t="s">
        <v>290</v>
      </c>
      <c r="B20" s="20" t="s">
        <v>60</v>
      </c>
      <c r="C20" s="21">
        <v>4416</v>
      </c>
      <c r="D20" s="21">
        <v>4416</v>
      </c>
      <c r="E20" s="20"/>
      <c r="F20" s="156">
        <f t="shared" si="1"/>
        <v>4416</v>
      </c>
    </row>
    <row r="21" spans="1:6" s="22" customFormat="1" ht="23.25">
      <c r="A21" s="19" t="s">
        <v>291</v>
      </c>
      <c r="B21" s="20" t="s">
        <v>298</v>
      </c>
      <c r="C21" s="21">
        <v>216200</v>
      </c>
      <c r="D21" s="21">
        <v>216200</v>
      </c>
      <c r="E21" s="20"/>
      <c r="F21" s="156">
        <f t="shared" si="1"/>
        <v>216200</v>
      </c>
    </row>
    <row r="22" spans="1:6" s="22" customFormat="1" ht="23.25">
      <c r="A22" s="19" t="s">
        <v>297</v>
      </c>
      <c r="B22" s="20" t="s">
        <v>225</v>
      </c>
      <c r="C22" s="21">
        <v>10000</v>
      </c>
      <c r="D22" s="21">
        <v>10000</v>
      </c>
      <c r="E22" s="20"/>
      <c r="F22" s="156">
        <f t="shared" si="1"/>
        <v>10000</v>
      </c>
    </row>
    <row r="23" spans="1:6" s="22" customFormat="1" ht="23.25">
      <c r="A23" s="19"/>
      <c r="B23" s="20"/>
      <c r="C23" s="21"/>
      <c r="D23" s="21"/>
      <c r="E23" s="20"/>
      <c r="F23" s="156"/>
    </row>
    <row r="24" spans="1:6" s="22" customFormat="1" ht="23.25">
      <c r="A24" s="19"/>
      <c r="B24" s="20"/>
      <c r="C24" s="21"/>
      <c r="D24" s="21"/>
      <c r="E24" s="20"/>
      <c r="F24" s="156"/>
    </row>
    <row r="25" spans="1:6" s="22" customFormat="1" ht="21.75">
      <c r="A25" s="24"/>
      <c r="B25" s="25"/>
      <c r="C25" s="42"/>
      <c r="D25" s="42"/>
      <c r="E25" s="25"/>
      <c r="F25" s="21"/>
    </row>
    <row r="26" spans="1:6" s="22" customFormat="1" ht="27" customHeight="1" thickBot="1">
      <c r="A26" s="26"/>
      <c r="C26" s="27">
        <f>SUM(C6:C25)</f>
        <v>457374.82</v>
      </c>
      <c r="D26" s="27">
        <f>SUM(D6:D25)</f>
        <v>446124.82</v>
      </c>
      <c r="E26" s="27">
        <f>SUM(E6:E25)</f>
        <v>0</v>
      </c>
      <c r="F26" s="27">
        <f>SUM(F6:F25)</f>
        <v>446124.82</v>
      </c>
    </row>
    <row r="27" ht="24.75" thickTop="1">
      <c r="A27" s="15"/>
    </row>
    <row r="28" ht="24">
      <c r="A28" s="15"/>
    </row>
    <row r="29" ht="24">
      <c r="A29" s="15"/>
    </row>
    <row r="30" ht="24">
      <c r="A30" s="15"/>
    </row>
    <row r="31" ht="24">
      <c r="A31" s="15"/>
    </row>
    <row r="32" ht="24">
      <c r="A32" s="15"/>
    </row>
    <row r="33" ht="24">
      <c r="A33" s="15"/>
    </row>
  </sheetData>
  <mergeCells count="3">
    <mergeCell ref="A1:F1"/>
    <mergeCell ref="A2:F2"/>
    <mergeCell ref="A3:F3"/>
  </mergeCells>
  <printOptions/>
  <pageMargins left="0.65" right="0.3" top="0.7" bottom="0.984251968503937" header="0.5118110236220472" footer="0.5118110236220472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29">
      <pane xSplit="1" topLeftCell="G1" activePane="topRight" state="frozen"/>
      <selection pane="topLeft" activeCell="A25" sqref="A25"/>
      <selection pane="topRight" activeCell="M37" sqref="M37"/>
    </sheetView>
  </sheetViews>
  <sheetFormatPr defaultColWidth="9.140625" defaultRowHeight="21.75"/>
  <cols>
    <col min="1" max="1" width="21.28125" style="31" customWidth="1"/>
    <col min="2" max="13" width="9.421875" style="234" customWidth="1"/>
    <col min="14" max="14" width="12.140625" style="234" customWidth="1"/>
    <col min="15" max="16384" width="8.140625" style="31" customWidth="1"/>
  </cols>
  <sheetData>
    <row r="1" spans="1:14" ht="23.25">
      <c r="A1" s="456" t="s">
        <v>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</row>
    <row r="2" spans="1:14" ht="23.25">
      <c r="A2" s="455" t="s">
        <v>96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</row>
    <row r="3" spans="1:14" ht="18.75">
      <c r="A3" s="418" t="s">
        <v>79</v>
      </c>
      <c r="B3" s="420" t="s">
        <v>80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1" t="s">
        <v>95</v>
      </c>
    </row>
    <row r="4" spans="1:14" ht="18.75">
      <c r="A4" s="419"/>
      <c r="B4" s="230" t="s">
        <v>197</v>
      </c>
      <c r="C4" s="230" t="s">
        <v>198</v>
      </c>
      <c r="D4" s="230" t="s">
        <v>199</v>
      </c>
      <c r="E4" s="230" t="s">
        <v>200</v>
      </c>
      <c r="F4" s="230" t="s">
        <v>201</v>
      </c>
      <c r="G4" s="230" t="s">
        <v>202</v>
      </c>
      <c r="H4" s="230" t="s">
        <v>203</v>
      </c>
      <c r="I4" s="230" t="s">
        <v>204</v>
      </c>
      <c r="J4" s="230" t="s">
        <v>205</v>
      </c>
      <c r="K4" s="230" t="s">
        <v>206</v>
      </c>
      <c r="L4" s="230" t="s">
        <v>207</v>
      </c>
      <c r="M4" s="230" t="s">
        <v>208</v>
      </c>
      <c r="N4" s="422"/>
    </row>
    <row r="5" spans="1:14" ht="20.25" customHeight="1">
      <c r="A5" s="34" t="s">
        <v>82</v>
      </c>
      <c r="B5" s="36"/>
      <c r="C5" s="36">
        <v>180600</v>
      </c>
      <c r="D5" s="36"/>
      <c r="E5" s="36"/>
      <c r="F5" s="36">
        <f>171780+9375+26250+36750</f>
        <v>244155</v>
      </c>
      <c r="G5" s="36"/>
      <c r="H5" s="36">
        <f>245400+14375+40250+56350</f>
        <v>356375</v>
      </c>
      <c r="I5" s="36"/>
      <c r="J5" s="36">
        <v>39175</v>
      </c>
      <c r="K5" s="36"/>
      <c r="L5" s="36"/>
      <c r="M5" s="36"/>
      <c r="N5" s="236">
        <f>SUM(B5:M5)</f>
        <v>820305</v>
      </c>
    </row>
    <row r="6" spans="1:14" ht="20.25" customHeight="1">
      <c r="A6" s="33" t="s">
        <v>83</v>
      </c>
      <c r="B6" s="37"/>
      <c r="C6" s="37">
        <v>114000</v>
      </c>
      <c r="D6" s="37"/>
      <c r="E6" s="37"/>
      <c r="F6" s="37">
        <v>142000</v>
      </c>
      <c r="G6" s="37"/>
      <c r="H6" s="37">
        <v>284000</v>
      </c>
      <c r="I6" s="37"/>
      <c r="J6" s="37">
        <v>228000</v>
      </c>
      <c r="K6" s="37"/>
      <c r="L6" s="37"/>
      <c r="M6" s="37"/>
      <c r="N6" s="236">
        <f aca="true" t="shared" si="0" ref="N6:N23">SUM(B6:M6)</f>
        <v>768000</v>
      </c>
    </row>
    <row r="7" spans="1:14" ht="20.25" customHeight="1">
      <c r="A7" s="33" t="s">
        <v>209</v>
      </c>
      <c r="B7" s="37"/>
      <c r="C7" s="37">
        <v>12500</v>
      </c>
      <c r="D7" s="37"/>
      <c r="E7" s="37"/>
      <c r="F7" s="37">
        <v>12500</v>
      </c>
      <c r="G7" s="37"/>
      <c r="H7" s="37">
        <v>25000</v>
      </c>
      <c r="I7" s="37"/>
      <c r="J7" s="37"/>
      <c r="K7" s="37"/>
      <c r="L7" s="37"/>
      <c r="M7" s="37"/>
      <c r="N7" s="236">
        <f t="shared" si="0"/>
        <v>50000</v>
      </c>
    </row>
    <row r="8" spans="1:14" ht="20.25" customHeight="1">
      <c r="A8" s="33" t="s">
        <v>84</v>
      </c>
      <c r="B8" s="37"/>
      <c r="C8" s="37">
        <v>35000</v>
      </c>
      <c r="D8" s="37"/>
      <c r="E8" s="37"/>
      <c r="F8" s="37">
        <v>35000</v>
      </c>
      <c r="G8" s="37"/>
      <c r="H8" s="37">
        <v>70000</v>
      </c>
      <c r="I8" s="37"/>
      <c r="J8" s="37"/>
      <c r="K8" s="37"/>
      <c r="L8" s="37"/>
      <c r="M8" s="37"/>
      <c r="N8" s="236">
        <f t="shared" si="0"/>
        <v>140000</v>
      </c>
    </row>
    <row r="9" spans="1:14" ht="20.25" customHeight="1">
      <c r="A9" s="33" t="s">
        <v>85</v>
      </c>
      <c r="B9" s="37"/>
      <c r="C9" s="37">
        <v>49000</v>
      </c>
      <c r="D9" s="37"/>
      <c r="E9" s="37"/>
      <c r="F9" s="37">
        <v>49000</v>
      </c>
      <c r="G9" s="37"/>
      <c r="H9" s="37">
        <v>98000</v>
      </c>
      <c r="I9" s="37"/>
      <c r="J9" s="37"/>
      <c r="K9" s="37"/>
      <c r="L9" s="37"/>
      <c r="M9" s="37"/>
      <c r="N9" s="236">
        <f t="shared" si="0"/>
        <v>196000</v>
      </c>
    </row>
    <row r="10" spans="1:14" ht="20.25" customHeight="1">
      <c r="A10" s="33" t="s">
        <v>86</v>
      </c>
      <c r="B10" s="37"/>
      <c r="C10" s="37">
        <v>285</v>
      </c>
      <c r="D10" s="37"/>
      <c r="E10" s="37"/>
      <c r="F10" s="37">
        <v>0</v>
      </c>
      <c r="G10" s="37"/>
      <c r="H10" s="37"/>
      <c r="I10" s="37"/>
      <c r="J10" s="37"/>
      <c r="K10" s="37"/>
      <c r="L10" s="37"/>
      <c r="M10" s="37"/>
      <c r="N10" s="236">
        <f t="shared" si="0"/>
        <v>285</v>
      </c>
    </row>
    <row r="11" spans="1:14" ht="20.25" customHeight="1">
      <c r="A11" s="33" t="s">
        <v>87</v>
      </c>
      <c r="B11" s="37"/>
      <c r="C11" s="37">
        <v>294</v>
      </c>
      <c r="D11" s="37"/>
      <c r="E11" s="37"/>
      <c r="F11" s="37">
        <v>0</v>
      </c>
      <c r="G11" s="37"/>
      <c r="H11" s="37"/>
      <c r="I11" s="37"/>
      <c r="J11" s="37"/>
      <c r="K11" s="37"/>
      <c r="L11" s="37"/>
      <c r="M11" s="37"/>
      <c r="N11" s="236">
        <f t="shared" si="0"/>
        <v>294</v>
      </c>
    </row>
    <row r="12" spans="1:14" ht="20.25" customHeight="1">
      <c r="A12" s="33" t="s">
        <v>88</v>
      </c>
      <c r="B12" s="37"/>
      <c r="C12" s="37">
        <v>3500</v>
      </c>
      <c r="D12" s="37"/>
      <c r="E12" s="37"/>
      <c r="F12" s="37">
        <v>3500</v>
      </c>
      <c r="G12" s="37"/>
      <c r="H12" s="37"/>
      <c r="I12" s="37">
        <v>6650</v>
      </c>
      <c r="J12" s="37"/>
      <c r="K12" s="37"/>
      <c r="L12" s="37"/>
      <c r="M12" s="37"/>
      <c r="N12" s="236">
        <f t="shared" si="0"/>
        <v>13650</v>
      </c>
    </row>
    <row r="13" spans="1:14" ht="20.25" customHeight="1">
      <c r="A13" s="33" t="s">
        <v>89</v>
      </c>
      <c r="B13" s="37"/>
      <c r="C13" s="37">
        <v>4900</v>
      </c>
      <c r="D13" s="37"/>
      <c r="E13" s="37"/>
      <c r="F13" s="37">
        <v>4900</v>
      </c>
      <c r="G13" s="37"/>
      <c r="H13" s="37"/>
      <c r="I13" s="37">
        <v>9310</v>
      </c>
      <c r="J13" s="37"/>
      <c r="K13" s="37"/>
      <c r="L13" s="37"/>
      <c r="M13" s="37"/>
      <c r="N13" s="236">
        <f t="shared" si="0"/>
        <v>19110</v>
      </c>
    </row>
    <row r="14" spans="1:14" ht="20.25" customHeight="1">
      <c r="A14" s="33" t="s">
        <v>229</v>
      </c>
      <c r="B14" s="37"/>
      <c r="C14" s="37">
        <v>1250</v>
      </c>
      <c r="D14" s="37"/>
      <c r="E14" s="37"/>
      <c r="F14" s="37">
        <v>1250</v>
      </c>
      <c r="G14" s="37"/>
      <c r="H14" s="37"/>
      <c r="I14" s="37">
        <v>2375</v>
      </c>
      <c r="J14" s="37"/>
      <c r="K14" s="37"/>
      <c r="L14" s="37"/>
      <c r="M14" s="37"/>
      <c r="N14" s="236">
        <f t="shared" si="0"/>
        <v>4875</v>
      </c>
    </row>
    <row r="15" spans="1:14" ht="20.25" customHeight="1">
      <c r="A15" s="33" t="s">
        <v>90</v>
      </c>
      <c r="B15" s="37"/>
      <c r="C15" s="37">
        <v>194040</v>
      </c>
      <c r="D15" s="37"/>
      <c r="E15" s="37"/>
      <c r="F15" s="37">
        <v>194040</v>
      </c>
      <c r="G15" s="37"/>
      <c r="H15" s="37"/>
      <c r="I15" s="37">
        <v>388080</v>
      </c>
      <c r="J15" s="37"/>
      <c r="K15" s="37"/>
      <c r="L15" s="37"/>
      <c r="M15" s="37"/>
      <c r="N15" s="236">
        <f t="shared" si="0"/>
        <v>776160</v>
      </c>
    </row>
    <row r="16" spans="1:14" ht="20.25" customHeight="1">
      <c r="A16" s="33" t="s">
        <v>91</v>
      </c>
      <c r="B16" s="37"/>
      <c r="C16" s="37">
        <v>9714</v>
      </c>
      <c r="D16" s="37"/>
      <c r="E16" s="37"/>
      <c r="F16" s="37">
        <v>9703</v>
      </c>
      <c r="G16" s="37"/>
      <c r="H16" s="37"/>
      <c r="I16" s="37">
        <v>19441</v>
      </c>
      <c r="J16" s="37"/>
      <c r="K16" s="37"/>
      <c r="L16" s="37"/>
      <c r="M16" s="37"/>
      <c r="N16" s="236">
        <f t="shared" si="0"/>
        <v>38858</v>
      </c>
    </row>
    <row r="17" spans="1:14" ht="20.25" customHeight="1">
      <c r="A17" s="33" t="s">
        <v>92</v>
      </c>
      <c r="B17" s="37"/>
      <c r="C17" s="37">
        <v>0</v>
      </c>
      <c r="D17" s="37"/>
      <c r="E17" s="37">
        <v>75600</v>
      </c>
      <c r="F17" s="37"/>
      <c r="G17" s="37">
        <v>275400</v>
      </c>
      <c r="H17" s="37"/>
      <c r="I17" s="37"/>
      <c r="J17" s="37">
        <v>351000</v>
      </c>
      <c r="K17" s="37"/>
      <c r="L17" s="37"/>
      <c r="M17" s="37"/>
      <c r="N17" s="236">
        <f t="shared" si="0"/>
        <v>702000</v>
      </c>
    </row>
    <row r="18" spans="1:14" ht="20.25" customHeight="1">
      <c r="A18" s="33" t="s">
        <v>93</v>
      </c>
      <c r="B18" s="37"/>
      <c r="C18" s="37">
        <v>0</v>
      </c>
      <c r="D18" s="37"/>
      <c r="E18" s="37">
        <v>4500</v>
      </c>
      <c r="F18" s="37"/>
      <c r="G18" s="37">
        <v>22500</v>
      </c>
      <c r="H18" s="37"/>
      <c r="I18" s="37"/>
      <c r="J18" s="37">
        <v>27000</v>
      </c>
      <c r="K18" s="37"/>
      <c r="L18" s="37"/>
      <c r="M18" s="37"/>
      <c r="N18" s="236">
        <f t="shared" si="0"/>
        <v>54000</v>
      </c>
    </row>
    <row r="19" spans="1:14" ht="20.25" customHeight="1">
      <c r="A19" s="35" t="s">
        <v>99</v>
      </c>
      <c r="B19" s="38"/>
      <c r="C19" s="38">
        <v>0</v>
      </c>
      <c r="D19" s="38"/>
      <c r="E19" s="38"/>
      <c r="F19" s="38">
        <v>0</v>
      </c>
      <c r="G19" s="38"/>
      <c r="H19" s="38"/>
      <c r="I19" s="38"/>
      <c r="J19" s="38"/>
      <c r="K19" s="38"/>
      <c r="L19" s="38"/>
      <c r="M19" s="38"/>
      <c r="N19" s="236">
        <f t="shared" si="0"/>
        <v>0</v>
      </c>
    </row>
    <row r="20" spans="1:14" ht="20.25" customHeight="1">
      <c r="A20" s="88" t="s">
        <v>94</v>
      </c>
      <c r="B20" s="89" t="s">
        <v>210</v>
      </c>
      <c r="C20" s="89">
        <v>0</v>
      </c>
      <c r="D20" s="89"/>
      <c r="E20" s="89"/>
      <c r="F20" s="89"/>
      <c r="G20" s="89">
        <f>17500+22400</f>
        <v>39900</v>
      </c>
      <c r="H20" s="89"/>
      <c r="I20" s="89"/>
      <c r="J20" s="89">
        <v>30100</v>
      </c>
      <c r="K20" s="89"/>
      <c r="L20" s="89"/>
      <c r="M20" s="89"/>
      <c r="N20" s="236">
        <f t="shared" si="0"/>
        <v>70000</v>
      </c>
    </row>
    <row r="21" spans="1:14" ht="20.25" customHeight="1">
      <c r="A21" s="219" t="s">
        <v>147</v>
      </c>
      <c r="B21" s="70"/>
      <c r="C21" s="70">
        <v>0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236">
        <f t="shared" si="0"/>
        <v>0</v>
      </c>
    </row>
    <row r="22" spans="1:14" ht="20.25" customHeight="1">
      <c r="A22" s="86" t="s">
        <v>240</v>
      </c>
      <c r="B22" s="87"/>
      <c r="C22" s="87"/>
      <c r="D22" s="87"/>
      <c r="E22" s="87"/>
      <c r="F22" s="87"/>
      <c r="G22" s="87"/>
      <c r="H22" s="87"/>
      <c r="I22" s="87"/>
      <c r="J22" s="87"/>
      <c r="K22" s="87">
        <v>216200</v>
      </c>
      <c r="L22" s="87"/>
      <c r="M22" s="87"/>
      <c r="N22" s="236">
        <f t="shared" si="0"/>
        <v>216200</v>
      </c>
    </row>
    <row r="23" spans="1:14" ht="20.25" customHeight="1">
      <c r="A23" s="210" t="s">
        <v>225</v>
      </c>
      <c r="B23" s="211"/>
      <c r="C23" s="211">
        <v>0</v>
      </c>
      <c r="D23" s="211"/>
      <c r="E23" s="211"/>
      <c r="F23" s="211"/>
      <c r="G23" s="211"/>
      <c r="H23" s="211">
        <v>10000</v>
      </c>
      <c r="I23" s="211"/>
      <c r="J23" s="211"/>
      <c r="K23" s="211"/>
      <c r="L23" s="211"/>
      <c r="M23" s="211"/>
      <c r="N23" s="236">
        <f t="shared" si="0"/>
        <v>10000</v>
      </c>
    </row>
    <row r="24" spans="1:14" ht="20.25" customHeight="1">
      <c r="A24" s="32" t="s">
        <v>95</v>
      </c>
      <c r="B24" s="69"/>
      <c r="C24" s="69">
        <f>SUM(C5:C23)</f>
        <v>605083</v>
      </c>
      <c r="D24" s="69">
        <f aca="true" t="shared" si="1" ref="D24:K24">SUM(D5:D23)</f>
        <v>0</v>
      </c>
      <c r="E24" s="69">
        <f t="shared" si="1"/>
        <v>80100</v>
      </c>
      <c r="F24" s="69">
        <f>SUM(F5:F23)</f>
        <v>696048</v>
      </c>
      <c r="G24" s="69">
        <f t="shared" si="1"/>
        <v>337800</v>
      </c>
      <c r="H24" s="69">
        <f t="shared" si="1"/>
        <v>843375</v>
      </c>
      <c r="I24" s="69">
        <f t="shared" si="1"/>
        <v>425856</v>
      </c>
      <c r="J24" s="69">
        <f t="shared" si="1"/>
        <v>675275</v>
      </c>
      <c r="K24" s="69">
        <f t="shared" si="1"/>
        <v>216200</v>
      </c>
      <c r="L24" s="69">
        <f>SUM(L5:L23)</f>
        <v>0</v>
      </c>
      <c r="M24" s="69">
        <f>SUM(M5:M23)</f>
        <v>0</v>
      </c>
      <c r="N24" s="69">
        <f>SUM(N5:N23)</f>
        <v>3879737</v>
      </c>
    </row>
    <row r="25" ht="3" customHeight="1"/>
    <row r="26" ht="3" customHeight="1"/>
    <row r="27" ht="3" customHeight="1"/>
    <row r="28" ht="3" customHeight="1"/>
    <row r="29" spans="1:14" ht="23.25">
      <c r="A29" s="456" t="s">
        <v>0</v>
      </c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</row>
    <row r="30" spans="1:14" ht="23.25">
      <c r="A30" s="455" t="s">
        <v>97</v>
      </c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</row>
    <row r="31" spans="1:14" ht="18.75">
      <c r="A31" s="418" t="s">
        <v>79</v>
      </c>
      <c r="B31" s="420" t="s">
        <v>80</v>
      </c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1" t="s">
        <v>95</v>
      </c>
    </row>
    <row r="32" spans="1:14" ht="18.75">
      <c r="A32" s="419"/>
      <c r="B32" s="230" t="s">
        <v>197</v>
      </c>
      <c r="C32" s="230" t="s">
        <v>198</v>
      </c>
      <c r="D32" s="230" t="s">
        <v>199</v>
      </c>
      <c r="E32" s="230" t="s">
        <v>200</v>
      </c>
      <c r="F32" s="230" t="s">
        <v>201</v>
      </c>
      <c r="G32" s="230" t="s">
        <v>202</v>
      </c>
      <c r="H32" s="230" t="s">
        <v>203</v>
      </c>
      <c r="I32" s="230" t="s">
        <v>204</v>
      </c>
      <c r="J32" s="230" t="s">
        <v>205</v>
      </c>
      <c r="K32" s="230" t="s">
        <v>206</v>
      </c>
      <c r="L32" s="230" t="s">
        <v>207</v>
      </c>
      <c r="M32" s="230" t="s">
        <v>208</v>
      </c>
      <c r="N32" s="422"/>
    </row>
    <row r="33" spans="1:14" ht="20.25" customHeight="1">
      <c r="A33" s="34" t="s">
        <v>82</v>
      </c>
      <c r="B33" s="36"/>
      <c r="C33" s="36">
        <v>0</v>
      </c>
      <c r="D33" s="36"/>
      <c r="E33" s="36"/>
      <c r="F33" s="36"/>
      <c r="G33" s="36"/>
      <c r="H33" s="36">
        <v>179949.84</v>
      </c>
      <c r="I33" s="36">
        <v>241064.88</v>
      </c>
      <c r="J33" s="36"/>
      <c r="K33" s="36"/>
      <c r="L33" s="36"/>
      <c r="M33" s="36">
        <f>353512.46+45777.82</f>
        <v>399290.28</v>
      </c>
      <c r="N33" s="236">
        <f>SUM(B33:M33)</f>
        <v>820305</v>
      </c>
    </row>
    <row r="34" spans="1:14" ht="20.25" customHeight="1">
      <c r="A34" s="33" t="s">
        <v>83</v>
      </c>
      <c r="B34" s="37"/>
      <c r="C34" s="37">
        <v>114000</v>
      </c>
      <c r="D34" s="37"/>
      <c r="E34" s="37"/>
      <c r="F34" s="37">
        <v>142000</v>
      </c>
      <c r="G34" s="37"/>
      <c r="H34" s="37">
        <f>382000-98000</f>
        <v>284000</v>
      </c>
      <c r="I34" s="37"/>
      <c r="J34" s="37"/>
      <c r="K34" s="37">
        <v>228000</v>
      </c>
      <c r="L34" s="37"/>
      <c r="M34" s="37"/>
      <c r="N34" s="236">
        <f aca="true" t="shared" si="2" ref="N34:N51">SUM(B34:M34)</f>
        <v>768000</v>
      </c>
    </row>
    <row r="35" spans="1:15" ht="20.25" customHeight="1">
      <c r="A35" s="33" t="s">
        <v>209</v>
      </c>
      <c r="B35" s="37"/>
      <c r="C35" s="37">
        <v>0</v>
      </c>
      <c r="D35" s="37">
        <v>4800</v>
      </c>
      <c r="F35" s="37"/>
      <c r="G35" s="37"/>
      <c r="H35" s="37"/>
      <c r="I35" s="37"/>
      <c r="J35" s="37">
        <v>6250</v>
      </c>
      <c r="K35" s="37">
        <v>6250</v>
      </c>
      <c r="L35" s="37"/>
      <c r="M35" s="37">
        <f>6250+26450</f>
        <v>32700</v>
      </c>
      <c r="N35" s="236">
        <f t="shared" si="2"/>
        <v>50000</v>
      </c>
      <c r="O35" s="102">
        <f>50000-N35</f>
        <v>0</v>
      </c>
    </row>
    <row r="36" spans="1:15" ht="20.25" customHeight="1">
      <c r="A36" s="33" t="s">
        <v>84</v>
      </c>
      <c r="B36" s="37"/>
      <c r="C36" s="37">
        <v>0</v>
      </c>
      <c r="D36" s="37">
        <v>6400</v>
      </c>
      <c r="E36" s="37">
        <f>5400+7200</f>
        <v>12600</v>
      </c>
      <c r="F36" s="37">
        <f>5544+4158</f>
        <v>9702</v>
      </c>
      <c r="G36" s="37">
        <f>8000+6000</f>
        <v>14000</v>
      </c>
      <c r="H36" s="37">
        <f>8000+6000</f>
        <v>14000</v>
      </c>
      <c r="I36" s="37"/>
      <c r="J36" s="37">
        <f>10000+7500</f>
        <v>17500</v>
      </c>
      <c r="K36" s="37">
        <f>10000+7500</f>
        <v>17500</v>
      </c>
      <c r="L36" s="37"/>
      <c r="M36" s="37">
        <f>10000+7500+30798</f>
        <v>48298</v>
      </c>
      <c r="N36" s="236">
        <f t="shared" si="2"/>
        <v>140000</v>
      </c>
      <c r="O36" s="102">
        <f>140000-N36</f>
        <v>0</v>
      </c>
    </row>
    <row r="37" spans="1:14" ht="20.25" customHeight="1">
      <c r="A37" s="33" t="s">
        <v>85</v>
      </c>
      <c r="B37" s="37"/>
      <c r="C37" s="37">
        <v>49000</v>
      </c>
      <c r="D37" s="37"/>
      <c r="E37" s="37"/>
      <c r="F37" s="37">
        <v>49000</v>
      </c>
      <c r="G37" s="37"/>
      <c r="H37" s="37">
        <v>98000</v>
      </c>
      <c r="I37" s="37"/>
      <c r="J37" s="37"/>
      <c r="K37" s="37"/>
      <c r="L37" s="37"/>
      <c r="M37" s="37"/>
      <c r="N37" s="236">
        <f t="shared" si="2"/>
        <v>196000</v>
      </c>
    </row>
    <row r="38" spans="1:14" ht="20.25" customHeight="1">
      <c r="A38" s="33" t="s">
        <v>86</v>
      </c>
      <c r="B38" s="37"/>
      <c r="C38" s="37">
        <v>0</v>
      </c>
      <c r="D38" s="37"/>
      <c r="E38" s="37"/>
      <c r="F38" s="37"/>
      <c r="G38" s="37"/>
      <c r="H38" s="37"/>
      <c r="I38" s="37"/>
      <c r="J38" s="37"/>
      <c r="K38" s="37"/>
      <c r="L38" s="37"/>
      <c r="M38" s="37">
        <v>285</v>
      </c>
      <c r="N38" s="236">
        <f t="shared" si="2"/>
        <v>285</v>
      </c>
    </row>
    <row r="39" spans="1:14" ht="20.25" customHeight="1">
      <c r="A39" s="33" t="s">
        <v>87</v>
      </c>
      <c r="B39" s="37"/>
      <c r="C39" s="37">
        <v>0</v>
      </c>
      <c r="D39" s="37"/>
      <c r="E39" s="37"/>
      <c r="F39" s="37"/>
      <c r="G39" s="37"/>
      <c r="H39" s="37"/>
      <c r="I39" s="37"/>
      <c r="J39" s="37"/>
      <c r="K39" s="37"/>
      <c r="L39" s="37"/>
      <c r="M39" s="37">
        <v>294</v>
      </c>
      <c r="N39" s="236">
        <f t="shared" si="2"/>
        <v>294</v>
      </c>
    </row>
    <row r="40" spans="1:14" ht="20.25" customHeight="1">
      <c r="A40" s="33" t="s">
        <v>88</v>
      </c>
      <c r="B40" s="37"/>
      <c r="C40" s="37">
        <v>0</v>
      </c>
      <c r="D40" s="37"/>
      <c r="E40" s="37"/>
      <c r="F40" s="37"/>
      <c r="G40" s="37"/>
      <c r="H40" s="37"/>
      <c r="I40" s="37"/>
      <c r="J40" s="37"/>
      <c r="K40" s="37"/>
      <c r="L40" s="37"/>
      <c r="M40" s="37">
        <f>7800+5850</f>
        <v>13650</v>
      </c>
      <c r="N40" s="236">
        <f t="shared" si="2"/>
        <v>13650</v>
      </c>
    </row>
    <row r="41" spans="1:14" ht="20.25" customHeight="1">
      <c r="A41" s="33" t="s">
        <v>89</v>
      </c>
      <c r="B41" s="37"/>
      <c r="C41" s="37">
        <v>0</v>
      </c>
      <c r="D41" s="37"/>
      <c r="E41" s="37"/>
      <c r="F41" s="37"/>
      <c r="G41" s="37"/>
      <c r="H41" s="37"/>
      <c r="I41" s="37"/>
      <c r="J41" s="37"/>
      <c r="K41" s="37"/>
      <c r="L41" s="37"/>
      <c r="M41" s="37">
        <v>19110</v>
      </c>
      <c r="N41" s="236">
        <f t="shared" si="2"/>
        <v>19110</v>
      </c>
    </row>
    <row r="42" spans="1:15" ht="20.25" customHeight="1">
      <c r="A42" s="33" t="s">
        <v>229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>
        <v>4875</v>
      </c>
      <c r="N42" s="236">
        <f t="shared" si="2"/>
        <v>4875</v>
      </c>
      <c r="O42" s="102"/>
    </row>
    <row r="43" spans="1:14" ht="20.25" customHeight="1">
      <c r="A43" s="33" t="s">
        <v>90</v>
      </c>
      <c r="B43" s="37"/>
      <c r="C43" s="37">
        <v>117600</v>
      </c>
      <c r="D43" s="37">
        <f>55600+3200</f>
        <v>58800</v>
      </c>
      <c r="E43" s="37"/>
      <c r="F43" s="37">
        <f>58800*2</f>
        <v>117600</v>
      </c>
      <c r="G43" s="37">
        <v>58800</v>
      </c>
      <c r="H43" s="37">
        <v>4018</v>
      </c>
      <c r="I43" s="37">
        <f>55856+61480+3200</f>
        <v>120536</v>
      </c>
      <c r="J43" s="37">
        <f>3200+61480</f>
        <v>64680</v>
      </c>
      <c r="K43" s="37">
        <f>3200+61480</f>
        <v>64680</v>
      </c>
      <c r="L43" s="37">
        <f>3200+61480</f>
        <v>64680</v>
      </c>
      <c r="M43" s="37">
        <f>3200+61480+40086</f>
        <v>104766</v>
      </c>
      <c r="N43" s="236">
        <f t="shared" si="2"/>
        <v>776160</v>
      </c>
    </row>
    <row r="44" spans="1:14" ht="20.25" customHeight="1">
      <c r="A44" s="33" t="s">
        <v>91</v>
      </c>
      <c r="B44" s="37"/>
      <c r="C44" s="37">
        <v>2944</v>
      </c>
      <c r="D44" s="37">
        <v>2944</v>
      </c>
      <c r="E44" s="37">
        <v>2944</v>
      </c>
      <c r="F44" s="37"/>
      <c r="G44" s="37">
        <v>5888</v>
      </c>
      <c r="H44" s="37">
        <v>2944</v>
      </c>
      <c r="I44" s="37">
        <f>294+3238+294</f>
        <v>3826</v>
      </c>
      <c r="J44" s="37"/>
      <c r="K44" s="37">
        <v>3238</v>
      </c>
      <c r="L44" s="37">
        <v>3238</v>
      </c>
      <c r="M44" s="37">
        <f>3238+3238+4416</f>
        <v>10892</v>
      </c>
      <c r="N44" s="236">
        <f t="shared" si="2"/>
        <v>38858</v>
      </c>
    </row>
    <row r="45" spans="1:14" ht="20.25" customHeight="1">
      <c r="A45" s="33" t="s">
        <v>92</v>
      </c>
      <c r="B45" s="37"/>
      <c r="C45" s="37">
        <v>0</v>
      </c>
      <c r="D45" s="37">
        <v>0</v>
      </c>
      <c r="E45" s="37"/>
      <c r="F45" s="37">
        <v>71100</v>
      </c>
      <c r="G45" s="37"/>
      <c r="H45" s="37">
        <v>180900</v>
      </c>
      <c r="I45" s="37"/>
      <c r="J45" s="37">
        <v>99000</v>
      </c>
      <c r="K45" s="37">
        <v>351000</v>
      </c>
      <c r="L45" s="37"/>
      <c r="M45" s="37"/>
      <c r="N45" s="236">
        <f t="shared" si="2"/>
        <v>702000</v>
      </c>
    </row>
    <row r="46" spans="1:14" ht="20.25" customHeight="1">
      <c r="A46" s="33" t="s">
        <v>93</v>
      </c>
      <c r="B46" s="37"/>
      <c r="C46" s="37">
        <v>0</v>
      </c>
      <c r="D46" s="37">
        <v>0</v>
      </c>
      <c r="E46" s="37"/>
      <c r="F46" s="37">
        <v>4500</v>
      </c>
      <c r="G46" s="37"/>
      <c r="H46" s="37">
        <v>4500</v>
      </c>
      <c r="I46" s="37"/>
      <c r="J46" s="37">
        <v>18000</v>
      </c>
      <c r="K46" s="37">
        <f>13500+4500</f>
        <v>18000</v>
      </c>
      <c r="L46" s="37">
        <v>4500</v>
      </c>
      <c r="M46" s="37">
        <v>4500</v>
      </c>
      <c r="N46" s="236">
        <f t="shared" si="2"/>
        <v>54000</v>
      </c>
    </row>
    <row r="47" spans="1:14" ht="20.25" customHeight="1">
      <c r="A47" s="35" t="s">
        <v>99</v>
      </c>
      <c r="B47" s="38"/>
      <c r="C47" s="38">
        <v>0</v>
      </c>
      <c r="D47" s="38"/>
      <c r="E47" s="38"/>
      <c r="F47" s="38">
        <v>0</v>
      </c>
      <c r="G47" s="38"/>
      <c r="H47" s="38"/>
      <c r="I47" s="38"/>
      <c r="J47" s="38"/>
      <c r="K47" s="38"/>
      <c r="L47" s="38"/>
      <c r="M47" s="38"/>
      <c r="N47" s="236">
        <f t="shared" si="2"/>
        <v>0</v>
      </c>
    </row>
    <row r="48" spans="1:14" ht="20.25" customHeight="1">
      <c r="A48" s="88" t="s">
        <v>94</v>
      </c>
      <c r="B48" s="70"/>
      <c r="C48" s="70">
        <v>0</v>
      </c>
      <c r="D48" s="70"/>
      <c r="E48" s="70"/>
      <c r="F48" s="70"/>
      <c r="G48" s="70"/>
      <c r="H48" s="70"/>
      <c r="I48" s="70"/>
      <c r="J48" s="70"/>
      <c r="K48" s="70"/>
      <c r="L48" s="70"/>
      <c r="M48" s="70">
        <v>70000</v>
      </c>
      <c r="N48" s="236">
        <f t="shared" si="2"/>
        <v>70000</v>
      </c>
    </row>
    <row r="49" spans="1:14" ht="20.25" customHeight="1">
      <c r="A49" s="86" t="s">
        <v>147</v>
      </c>
      <c r="B49" s="87"/>
      <c r="C49" s="87">
        <v>0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236">
        <f t="shared" si="2"/>
        <v>0</v>
      </c>
    </row>
    <row r="50" spans="1:14" ht="20.25" customHeight="1">
      <c r="A50" s="219" t="s">
        <v>240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>
        <v>216200</v>
      </c>
      <c r="N50" s="236">
        <f t="shared" si="2"/>
        <v>216200</v>
      </c>
    </row>
    <row r="51" spans="1:14" ht="20.25" customHeight="1">
      <c r="A51" s="210" t="s">
        <v>225</v>
      </c>
      <c r="B51" s="70"/>
      <c r="C51" s="70">
        <v>0</v>
      </c>
      <c r="D51" s="70"/>
      <c r="E51" s="70"/>
      <c r="F51" s="70"/>
      <c r="G51" s="70"/>
      <c r="H51" s="70"/>
      <c r="I51" s="70"/>
      <c r="J51" s="70"/>
      <c r="K51" s="70"/>
      <c r="L51" s="70"/>
      <c r="M51" s="70">
        <v>10000</v>
      </c>
      <c r="N51" s="236">
        <f t="shared" si="2"/>
        <v>10000</v>
      </c>
    </row>
    <row r="52" spans="1:15" ht="20.25" customHeight="1">
      <c r="A52" s="32" t="s">
        <v>95</v>
      </c>
      <c r="B52" s="39"/>
      <c r="C52" s="39">
        <f>SUM(C33:C51)</f>
        <v>283544</v>
      </c>
      <c r="D52" s="39">
        <f>SUM(D33:D47)</f>
        <v>72944</v>
      </c>
      <c r="E52" s="39">
        <f aca="true" t="shared" si="3" ref="E52:N52">SUM(E33:E51)</f>
        <v>15544</v>
      </c>
      <c r="F52" s="39">
        <f t="shared" si="3"/>
        <v>393902</v>
      </c>
      <c r="G52" s="39">
        <f t="shared" si="3"/>
        <v>78688</v>
      </c>
      <c r="H52" s="39">
        <f t="shared" si="3"/>
        <v>768311.84</v>
      </c>
      <c r="I52" s="39">
        <f t="shared" si="3"/>
        <v>365426.88</v>
      </c>
      <c r="J52" s="39">
        <f t="shared" si="3"/>
        <v>205430</v>
      </c>
      <c r="K52" s="39">
        <f t="shared" si="3"/>
        <v>688668</v>
      </c>
      <c r="L52" s="39">
        <f t="shared" si="3"/>
        <v>72418</v>
      </c>
      <c r="M52" s="39">
        <f t="shared" si="3"/>
        <v>934860.28</v>
      </c>
      <c r="N52" s="39">
        <f t="shared" si="3"/>
        <v>3879737</v>
      </c>
      <c r="O52" s="407">
        <f>3879737-N52</f>
        <v>0</v>
      </c>
    </row>
    <row r="53" ht="5.25" customHeight="1">
      <c r="D53" s="102"/>
    </row>
    <row r="54" ht="5.25" customHeight="1">
      <c r="H54" s="102"/>
    </row>
    <row r="55" spans="1:14" ht="23.25">
      <c r="A55" s="456" t="s">
        <v>0</v>
      </c>
      <c r="B55" s="456"/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</row>
    <row r="56" spans="1:14" ht="23.25">
      <c r="A56" s="455" t="s">
        <v>98</v>
      </c>
      <c r="B56" s="455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</row>
    <row r="57" spans="1:14" ht="18.75">
      <c r="A57" s="418" t="s">
        <v>79</v>
      </c>
      <c r="B57" s="420" t="s">
        <v>80</v>
      </c>
      <c r="C57" s="420"/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1" t="s">
        <v>81</v>
      </c>
    </row>
    <row r="58" spans="1:14" ht="18.75">
      <c r="A58" s="419"/>
      <c r="B58" s="230" t="s">
        <v>197</v>
      </c>
      <c r="C58" s="230" t="s">
        <v>198</v>
      </c>
      <c r="D58" s="230" t="s">
        <v>199</v>
      </c>
      <c r="E58" s="230" t="s">
        <v>200</v>
      </c>
      <c r="F58" s="230" t="s">
        <v>201</v>
      </c>
      <c r="G58" s="230" t="s">
        <v>202</v>
      </c>
      <c r="H58" s="230" t="s">
        <v>203</v>
      </c>
      <c r="I58" s="230" t="s">
        <v>204</v>
      </c>
      <c r="J58" s="230" t="s">
        <v>205</v>
      </c>
      <c r="K58" s="230" t="s">
        <v>206</v>
      </c>
      <c r="L58" s="230" t="s">
        <v>207</v>
      </c>
      <c r="M58" s="230" t="s">
        <v>208</v>
      </c>
      <c r="N58" s="422"/>
    </row>
    <row r="59" spans="1:14" ht="20.25" customHeight="1">
      <c r="A59" s="34" t="s">
        <v>82</v>
      </c>
      <c r="B59" s="71"/>
      <c r="C59" s="235">
        <f aca="true" t="shared" si="4" ref="C59:C68">+C5-C33</f>
        <v>180600</v>
      </c>
      <c r="D59" s="235">
        <f aca="true" t="shared" si="5" ref="D59:L59">+C59+D5-D33</f>
        <v>180600</v>
      </c>
      <c r="E59" s="235">
        <f t="shared" si="5"/>
        <v>180600</v>
      </c>
      <c r="F59" s="235">
        <f t="shared" si="5"/>
        <v>424755</v>
      </c>
      <c r="G59" s="235">
        <f t="shared" si="5"/>
        <v>424755</v>
      </c>
      <c r="H59" s="235">
        <f t="shared" si="5"/>
        <v>601180.16</v>
      </c>
      <c r="I59" s="235">
        <f t="shared" si="5"/>
        <v>360115.28</v>
      </c>
      <c r="J59" s="235">
        <f t="shared" si="5"/>
        <v>399290.28</v>
      </c>
      <c r="K59" s="235">
        <f t="shared" si="5"/>
        <v>399290.28</v>
      </c>
      <c r="L59" s="235">
        <f t="shared" si="5"/>
        <v>399290.28</v>
      </c>
      <c r="M59" s="235">
        <f aca="true" t="shared" si="6" ref="M59:M77">+L59+M5-M33</f>
        <v>0</v>
      </c>
      <c r="N59" s="72"/>
    </row>
    <row r="60" spans="1:14" ht="20.25" customHeight="1">
      <c r="A60" s="33" t="s">
        <v>83</v>
      </c>
      <c r="B60" s="72"/>
      <c r="C60" s="235">
        <f t="shared" si="4"/>
        <v>0</v>
      </c>
      <c r="D60" s="235">
        <f aca="true" t="shared" si="7" ref="D60:L60">+C60+D6-D34</f>
        <v>0</v>
      </c>
      <c r="E60" s="235">
        <f t="shared" si="7"/>
        <v>0</v>
      </c>
      <c r="F60" s="235">
        <f t="shared" si="7"/>
        <v>0</v>
      </c>
      <c r="G60" s="235">
        <f t="shared" si="7"/>
        <v>0</v>
      </c>
      <c r="H60" s="235">
        <f t="shared" si="7"/>
        <v>0</v>
      </c>
      <c r="I60" s="235">
        <f t="shared" si="7"/>
        <v>0</v>
      </c>
      <c r="J60" s="235">
        <f t="shared" si="7"/>
        <v>228000</v>
      </c>
      <c r="K60" s="235">
        <f t="shared" si="7"/>
        <v>0</v>
      </c>
      <c r="L60" s="236">
        <f t="shared" si="7"/>
        <v>0</v>
      </c>
      <c r="M60" s="236">
        <f t="shared" si="6"/>
        <v>0</v>
      </c>
      <c r="N60" s="72"/>
    </row>
    <row r="61" spans="1:14" ht="20.25" customHeight="1">
      <c r="A61" s="33" t="s">
        <v>209</v>
      </c>
      <c r="B61" s="72"/>
      <c r="C61" s="235">
        <f t="shared" si="4"/>
        <v>12500</v>
      </c>
      <c r="D61" s="235">
        <f aca="true" t="shared" si="8" ref="D61:L61">+C61+D7-D35</f>
        <v>7700</v>
      </c>
      <c r="E61" s="235">
        <f t="shared" si="8"/>
        <v>7700</v>
      </c>
      <c r="F61" s="235">
        <f t="shared" si="8"/>
        <v>20200</v>
      </c>
      <c r="G61" s="235">
        <f t="shared" si="8"/>
        <v>20200</v>
      </c>
      <c r="H61" s="235">
        <f t="shared" si="8"/>
        <v>45200</v>
      </c>
      <c r="I61" s="235">
        <f t="shared" si="8"/>
        <v>45200</v>
      </c>
      <c r="J61" s="235">
        <f t="shared" si="8"/>
        <v>38950</v>
      </c>
      <c r="K61" s="235">
        <f t="shared" si="8"/>
        <v>32700</v>
      </c>
      <c r="L61" s="236">
        <f t="shared" si="8"/>
        <v>32700</v>
      </c>
      <c r="M61" s="236">
        <f t="shared" si="6"/>
        <v>0</v>
      </c>
      <c r="N61" s="72"/>
    </row>
    <row r="62" spans="1:14" ht="20.25" customHeight="1">
      <c r="A62" s="33" t="s">
        <v>84</v>
      </c>
      <c r="B62" s="72"/>
      <c r="C62" s="235">
        <f t="shared" si="4"/>
        <v>35000</v>
      </c>
      <c r="D62" s="235">
        <f aca="true" t="shared" si="9" ref="D62:L62">+C62+D8-D36</f>
        <v>28600</v>
      </c>
      <c r="E62" s="235">
        <f t="shared" si="9"/>
        <v>16000</v>
      </c>
      <c r="F62" s="235">
        <f t="shared" si="9"/>
        <v>41298</v>
      </c>
      <c r="G62" s="235">
        <f t="shared" si="9"/>
        <v>27298</v>
      </c>
      <c r="H62" s="235">
        <f t="shared" si="9"/>
        <v>83298</v>
      </c>
      <c r="I62" s="235">
        <f t="shared" si="9"/>
        <v>83298</v>
      </c>
      <c r="J62" s="235">
        <f t="shared" si="9"/>
        <v>65798</v>
      </c>
      <c r="K62" s="235">
        <f t="shared" si="9"/>
        <v>48298</v>
      </c>
      <c r="L62" s="236">
        <f t="shared" si="9"/>
        <v>48298</v>
      </c>
      <c r="M62" s="236">
        <f t="shared" si="6"/>
        <v>0</v>
      </c>
      <c r="N62" s="72"/>
    </row>
    <row r="63" spans="1:14" ht="20.25" customHeight="1">
      <c r="A63" s="33" t="s">
        <v>85</v>
      </c>
      <c r="B63" s="72"/>
      <c r="C63" s="235">
        <f t="shared" si="4"/>
        <v>0</v>
      </c>
      <c r="D63" s="235">
        <f aca="true" t="shared" si="10" ref="D63:L63">+C63+D9-D37</f>
        <v>0</v>
      </c>
      <c r="E63" s="235">
        <f t="shared" si="10"/>
        <v>0</v>
      </c>
      <c r="F63" s="235">
        <f t="shared" si="10"/>
        <v>0</v>
      </c>
      <c r="G63" s="235">
        <f t="shared" si="10"/>
        <v>0</v>
      </c>
      <c r="H63" s="235">
        <f t="shared" si="10"/>
        <v>0</v>
      </c>
      <c r="I63" s="235">
        <f t="shared" si="10"/>
        <v>0</v>
      </c>
      <c r="J63" s="235">
        <f t="shared" si="10"/>
        <v>0</v>
      </c>
      <c r="K63" s="235">
        <f t="shared" si="10"/>
        <v>0</v>
      </c>
      <c r="L63" s="236">
        <f t="shared" si="10"/>
        <v>0</v>
      </c>
      <c r="M63" s="236">
        <f t="shared" si="6"/>
        <v>0</v>
      </c>
      <c r="N63" s="72"/>
    </row>
    <row r="64" spans="1:14" ht="20.25" customHeight="1">
      <c r="A64" s="33" t="s">
        <v>86</v>
      </c>
      <c r="B64" s="72"/>
      <c r="C64" s="235">
        <f t="shared" si="4"/>
        <v>285</v>
      </c>
      <c r="D64" s="235">
        <f aca="true" t="shared" si="11" ref="D64:L64">+C64+D10-D38</f>
        <v>285</v>
      </c>
      <c r="E64" s="235">
        <f t="shared" si="11"/>
        <v>285</v>
      </c>
      <c r="F64" s="235">
        <f t="shared" si="11"/>
        <v>285</v>
      </c>
      <c r="G64" s="235">
        <f t="shared" si="11"/>
        <v>285</v>
      </c>
      <c r="H64" s="235">
        <f t="shared" si="11"/>
        <v>285</v>
      </c>
      <c r="I64" s="235">
        <f t="shared" si="11"/>
        <v>285</v>
      </c>
      <c r="J64" s="235">
        <f t="shared" si="11"/>
        <v>285</v>
      </c>
      <c r="K64" s="235">
        <f t="shared" si="11"/>
        <v>285</v>
      </c>
      <c r="L64" s="236">
        <f t="shared" si="11"/>
        <v>285</v>
      </c>
      <c r="M64" s="236">
        <f t="shared" si="6"/>
        <v>0</v>
      </c>
      <c r="N64" s="72"/>
    </row>
    <row r="65" spans="1:14" ht="20.25" customHeight="1">
      <c r="A65" s="33" t="s">
        <v>87</v>
      </c>
      <c r="B65" s="72"/>
      <c r="C65" s="235">
        <f t="shared" si="4"/>
        <v>294</v>
      </c>
      <c r="D65" s="235">
        <f aca="true" t="shared" si="12" ref="D65:L65">+C65+D11-D39</f>
        <v>294</v>
      </c>
      <c r="E65" s="235">
        <f t="shared" si="12"/>
        <v>294</v>
      </c>
      <c r="F65" s="235">
        <f t="shared" si="12"/>
        <v>294</v>
      </c>
      <c r="G65" s="235">
        <f t="shared" si="12"/>
        <v>294</v>
      </c>
      <c r="H65" s="235">
        <f t="shared" si="12"/>
        <v>294</v>
      </c>
      <c r="I65" s="235">
        <f t="shared" si="12"/>
        <v>294</v>
      </c>
      <c r="J65" s="235">
        <f t="shared" si="12"/>
        <v>294</v>
      </c>
      <c r="K65" s="235">
        <f t="shared" si="12"/>
        <v>294</v>
      </c>
      <c r="L65" s="236">
        <f t="shared" si="12"/>
        <v>294</v>
      </c>
      <c r="M65" s="236">
        <f t="shared" si="6"/>
        <v>0</v>
      </c>
      <c r="N65" s="72"/>
    </row>
    <row r="66" spans="1:14" ht="20.25" customHeight="1">
      <c r="A66" s="33" t="s">
        <v>88</v>
      </c>
      <c r="B66" s="72"/>
      <c r="C66" s="235">
        <f t="shared" si="4"/>
        <v>3500</v>
      </c>
      <c r="D66" s="235">
        <f aca="true" t="shared" si="13" ref="D66:L66">+C66+D12-D40</f>
        <v>3500</v>
      </c>
      <c r="E66" s="235">
        <f t="shared" si="13"/>
        <v>3500</v>
      </c>
      <c r="F66" s="235">
        <f t="shared" si="13"/>
        <v>7000</v>
      </c>
      <c r="G66" s="235">
        <f t="shared" si="13"/>
        <v>7000</v>
      </c>
      <c r="H66" s="235">
        <f t="shared" si="13"/>
        <v>7000</v>
      </c>
      <c r="I66" s="235">
        <f t="shared" si="13"/>
        <v>13650</v>
      </c>
      <c r="J66" s="235">
        <f t="shared" si="13"/>
        <v>13650</v>
      </c>
      <c r="K66" s="235">
        <f t="shared" si="13"/>
        <v>13650</v>
      </c>
      <c r="L66" s="236">
        <f t="shared" si="13"/>
        <v>13650</v>
      </c>
      <c r="M66" s="236">
        <f t="shared" si="6"/>
        <v>0</v>
      </c>
      <c r="N66" s="72"/>
    </row>
    <row r="67" spans="1:14" ht="20.25" customHeight="1">
      <c r="A67" s="33" t="s">
        <v>89</v>
      </c>
      <c r="B67" s="72"/>
      <c r="C67" s="235">
        <f t="shared" si="4"/>
        <v>4900</v>
      </c>
      <c r="D67" s="235">
        <f aca="true" t="shared" si="14" ref="D67:L68">+C67+D13-D41</f>
        <v>4900</v>
      </c>
      <c r="E67" s="235">
        <f t="shared" si="14"/>
        <v>4900</v>
      </c>
      <c r="F67" s="235">
        <f t="shared" si="14"/>
        <v>9800</v>
      </c>
      <c r="G67" s="235">
        <f t="shared" si="14"/>
        <v>9800</v>
      </c>
      <c r="H67" s="235">
        <f t="shared" si="14"/>
        <v>9800</v>
      </c>
      <c r="I67" s="235">
        <f t="shared" si="14"/>
        <v>19110</v>
      </c>
      <c r="J67" s="235">
        <f t="shared" si="14"/>
        <v>19110</v>
      </c>
      <c r="K67" s="235">
        <f t="shared" si="14"/>
        <v>19110</v>
      </c>
      <c r="L67" s="236">
        <f t="shared" si="14"/>
        <v>19110</v>
      </c>
      <c r="M67" s="236">
        <f t="shared" si="6"/>
        <v>0</v>
      </c>
      <c r="N67" s="72"/>
    </row>
    <row r="68" spans="1:14" ht="20.25" customHeight="1">
      <c r="A68" s="33" t="s">
        <v>230</v>
      </c>
      <c r="B68" s="72"/>
      <c r="C68" s="235">
        <f t="shared" si="4"/>
        <v>1250</v>
      </c>
      <c r="D68" s="235">
        <f t="shared" si="14"/>
        <v>1250</v>
      </c>
      <c r="E68" s="235">
        <f t="shared" si="14"/>
        <v>1250</v>
      </c>
      <c r="F68" s="235">
        <f t="shared" si="14"/>
        <v>2500</v>
      </c>
      <c r="G68" s="235">
        <f t="shared" si="14"/>
        <v>2500</v>
      </c>
      <c r="H68" s="235">
        <f t="shared" si="14"/>
        <v>2500</v>
      </c>
      <c r="I68" s="235">
        <f t="shared" si="14"/>
        <v>4875</v>
      </c>
      <c r="J68" s="235">
        <f aca="true" t="shared" si="15" ref="I68:L77">+I68+J14-J42</f>
        <v>4875</v>
      </c>
      <c r="K68" s="235">
        <f t="shared" si="15"/>
        <v>4875</v>
      </c>
      <c r="L68" s="236">
        <f t="shared" si="15"/>
        <v>4875</v>
      </c>
      <c r="M68" s="236">
        <f t="shared" si="6"/>
        <v>0</v>
      </c>
      <c r="N68" s="72"/>
    </row>
    <row r="69" spans="1:14" ht="20.25" customHeight="1">
      <c r="A69" s="33" t="s">
        <v>90</v>
      </c>
      <c r="B69" s="72"/>
      <c r="C69" s="235">
        <f aca="true" t="shared" si="16" ref="C69:C77">+C15-C43</f>
        <v>76440</v>
      </c>
      <c r="D69" s="235">
        <f aca="true" t="shared" si="17" ref="D69:H70">+C69+D15-D43</f>
        <v>17640</v>
      </c>
      <c r="E69" s="235">
        <f t="shared" si="17"/>
        <v>17640</v>
      </c>
      <c r="F69" s="235">
        <f t="shared" si="17"/>
        <v>94080</v>
      </c>
      <c r="G69" s="235">
        <f t="shared" si="17"/>
        <v>35280</v>
      </c>
      <c r="H69" s="235">
        <f t="shared" si="17"/>
        <v>31262</v>
      </c>
      <c r="I69" s="235">
        <f t="shared" si="15"/>
        <v>298806</v>
      </c>
      <c r="J69" s="235">
        <f t="shared" si="15"/>
        <v>234126</v>
      </c>
      <c r="K69" s="235">
        <f t="shared" si="15"/>
        <v>169446</v>
      </c>
      <c r="L69" s="236">
        <f t="shared" si="15"/>
        <v>104766</v>
      </c>
      <c r="M69" s="236">
        <f t="shared" si="6"/>
        <v>0</v>
      </c>
      <c r="N69" s="72"/>
    </row>
    <row r="70" spans="1:14" ht="20.25" customHeight="1">
      <c r="A70" s="33" t="s">
        <v>91</v>
      </c>
      <c r="B70" s="72"/>
      <c r="C70" s="235">
        <f t="shared" si="16"/>
        <v>6770</v>
      </c>
      <c r="D70" s="235">
        <f t="shared" si="17"/>
        <v>3826</v>
      </c>
      <c r="E70" s="235">
        <f t="shared" si="17"/>
        <v>882</v>
      </c>
      <c r="F70" s="235">
        <f t="shared" si="17"/>
        <v>10585</v>
      </c>
      <c r="G70" s="235">
        <f t="shared" si="17"/>
        <v>4697</v>
      </c>
      <c r="H70" s="235">
        <f t="shared" si="17"/>
        <v>1753</v>
      </c>
      <c r="I70" s="235">
        <f t="shared" si="15"/>
        <v>17368</v>
      </c>
      <c r="J70" s="235">
        <f t="shared" si="15"/>
        <v>17368</v>
      </c>
      <c r="K70" s="235">
        <f t="shared" si="15"/>
        <v>14130</v>
      </c>
      <c r="L70" s="236">
        <f t="shared" si="15"/>
        <v>10892</v>
      </c>
      <c r="M70" s="236">
        <f t="shared" si="6"/>
        <v>0</v>
      </c>
      <c r="N70" s="72"/>
    </row>
    <row r="71" spans="1:14" ht="20.25" customHeight="1">
      <c r="A71" s="33" t="s">
        <v>92</v>
      </c>
      <c r="B71" s="72"/>
      <c r="C71" s="235">
        <f t="shared" si="16"/>
        <v>0</v>
      </c>
      <c r="D71" s="235">
        <v>0</v>
      </c>
      <c r="E71" s="235">
        <f>+E17-E45</f>
        <v>75600</v>
      </c>
      <c r="F71" s="235">
        <f aca="true" t="shared" si="18" ref="F71:H72">+E71+F17-F45</f>
        <v>4500</v>
      </c>
      <c r="G71" s="235">
        <f t="shared" si="18"/>
        <v>279900</v>
      </c>
      <c r="H71" s="235">
        <f t="shared" si="18"/>
        <v>99000</v>
      </c>
      <c r="I71" s="235">
        <f t="shared" si="15"/>
        <v>99000</v>
      </c>
      <c r="J71" s="235">
        <f t="shared" si="15"/>
        <v>351000</v>
      </c>
      <c r="K71" s="235">
        <f t="shared" si="15"/>
        <v>0</v>
      </c>
      <c r="L71" s="236">
        <f t="shared" si="15"/>
        <v>0</v>
      </c>
      <c r="M71" s="236">
        <f t="shared" si="6"/>
        <v>0</v>
      </c>
      <c r="N71" s="72"/>
    </row>
    <row r="72" spans="1:14" ht="20.25" customHeight="1">
      <c r="A72" s="33" t="s">
        <v>93</v>
      </c>
      <c r="B72" s="72"/>
      <c r="C72" s="235">
        <f t="shared" si="16"/>
        <v>0</v>
      </c>
      <c r="D72" s="235"/>
      <c r="E72" s="235">
        <f>+E18-E46</f>
        <v>4500</v>
      </c>
      <c r="F72" s="235">
        <f t="shared" si="18"/>
        <v>0</v>
      </c>
      <c r="G72" s="235">
        <f t="shared" si="18"/>
        <v>22500</v>
      </c>
      <c r="H72" s="235">
        <f t="shared" si="18"/>
        <v>18000</v>
      </c>
      <c r="I72" s="235">
        <f t="shared" si="15"/>
        <v>18000</v>
      </c>
      <c r="J72" s="235">
        <f t="shared" si="15"/>
        <v>27000</v>
      </c>
      <c r="K72" s="235">
        <f t="shared" si="15"/>
        <v>9000</v>
      </c>
      <c r="L72" s="236">
        <f t="shared" si="15"/>
        <v>4500</v>
      </c>
      <c r="M72" s="236">
        <f t="shared" si="6"/>
        <v>0</v>
      </c>
      <c r="N72" s="72"/>
    </row>
    <row r="73" spans="1:14" ht="20.25" customHeight="1">
      <c r="A73" s="35" t="s">
        <v>99</v>
      </c>
      <c r="B73" s="73"/>
      <c r="C73" s="235">
        <f t="shared" si="16"/>
        <v>0</v>
      </c>
      <c r="D73" s="235">
        <f aca="true" t="shared" si="19" ref="D73:E77">+C73+D19-D47</f>
        <v>0</v>
      </c>
      <c r="E73" s="235">
        <f t="shared" si="19"/>
        <v>0</v>
      </c>
      <c r="F73" s="235">
        <v>0</v>
      </c>
      <c r="G73" s="235">
        <f aca="true" t="shared" si="20" ref="G73:H77">+F73+G19-G47</f>
        <v>0</v>
      </c>
      <c r="H73" s="235">
        <f t="shared" si="20"/>
        <v>0</v>
      </c>
      <c r="I73" s="235">
        <f t="shared" si="15"/>
        <v>0</v>
      </c>
      <c r="J73" s="235">
        <f t="shared" si="15"/>
        <v>0</v>
      </c>
      <c r="K73" s="235">
        <f t="shared" si="15"/>
        <v>0</v>
      </c>
      <c r="L73" s="236">
        <f t="shared" si="15"/>
        <v>0</v>
      </c>
      <c r="M73" s="236">
        <f t="shared" si="6"/>
        <v>0</v>
      </c>
      <c r="N73" s="73"/>
    </row>
    <row r="74" spans="1:14" ht="20.25" customHeight="1">
      <c r="A74" s="88" t="s">
        <v>94</v>
      </c>
      <c r="B74" s="89"/>
      <c r="C74" s="235">
        <f t="shared" si="16"/>
        <v>0</v>
      </c>
      <c r="D74" s="235">
        <f t="shared" si="19"/>
        <v>0</v>
      </c>
      <c r="E74" s="235">
        <f t="shared" si="19"/>
        <v>0</v>
      </c>
      <c r="F74" s="235">
        <f>+E74+F20-F48</f>
        <v>0</v>
      </c>
      <c r="G74" s="235">
        <f t="shared" si="20"/>
        <v>39900</v>
      </c>
      <c r="H74" s="235">
        <f t="shared" si="20"/>
        <v>39900</v>
      </c>
      <c r="I74" s="235">
        <f t="shared" si="15"/>
        <v>39900</v>
      </c>
      <c r="J74" s="235">
        <f t="shared" si="15"/>
        <v>70000</v>
      </c>
      <c r="K74" s="235">
        <f t="shared" si="15"/>
        <v>70000</v>
      </c>
      <c r="L74" s="236">
        <f t="shared" si="15"/>
        <v>70000</v>
      </c>
      <c r="M74" s="236">
        <f t="shared" si="6"/>
        <v>0</v>
      </c>
      <c r="N74" s="231"/>
    </row>
    <row r="75" spans="1:14" ht="20.25" customHeight="1">
      <c r="A75" s="86" t="s">
        <v>147</v>
      </c>
      <c r="B75" s="87"/>
      <c r="C75" s="237">
        <f t="shared" si="16"/>
        <v>0</v>
      </c>
      <c r="D75" s="235">
        <f t="shared" si="19"/>
        <v>0</v>
      </c>
      <c r="E75" s="235">
        <f t="shared" si="19"/>
        <v>0</v>
      </c>
      <c r="F75" s="235">
        <f>+E75+F21-F49</f>
        <v>0</v>
      </c>
      <c r="G75" s="235">
        <f t="shared" si="20"/>
        <v>0</v>
      </c>
      <c r="H75" s="235">
        <f t="shared" si="20"/>
        <v>0</v>
      </c>
      <c r="I75" s="235">
        <f t="shared" si="15"/>
        <v>0</v>
      </c>
      <c r="J75" s="235">
        <f t="shared" si="15"/>
        <v>0</v>
      </c>
      <c r="K75" s="235">
        <f t="shared" si="15"/>
        <v>0</v>
      </c>
      <c r="L75" s="236">
        <f t="shared" si="15"/>
        <v>0</v>
      </c>
      <c r="M75" s="236">
        <f t="shared" si="6"/>
        <v>0</v>
      </c>
      <c r="N75" s="233"/>
    </row>
    <row r="76" spans="1:14" ht="20.25" customHeight="1">
      <c r="A76" s="220" t="s">
        <v>240</v>
      </c>
      <c r="B76" s="221"/>
      <c r="C76" s="238">
        <f t="shared" si="16"/>
        <v>0</v>
      </c>
      <c r="D76" s="235">
        <f t="shared" si="19"/>
        <v>0</v>
      </c>
      <c r="E76" s="235">
        <f t="shared" si="19"/>
        <v>0</v>
      </c>
      <c r="F76" s="235">
        <f>+E76+F22-F50</f>
        <v>0</v>
      </c>
      <c r="G76" s="235">
        <f t="shared" si="20"/>
        <v>0</v>
      </c>
      <c r="H76" s="235">
        <f t="shared" si="20"/>
        <v>0</v>
      </c>
      <c r="I76" s="235">
        <f t="shared" si="15"/>
        <v>0</v>
      </c>
      <c r="J76" s="235">
        <f t="shared" si="15"/>
        <v>0</v>
      </c>
      <c r="K76" s="235">
        <f t="shared" si="15"/>
        <v>216200</v>
      </c>
      <c r="L76" s="236">
        <f t="shared" si="15"/>
        <v>216200</v>
      </c>
      <c r="M76" s="236">
        <f t="shared" si="6"/>
        <v>0</v>
      </c>
      <c r="N76" s="233"/>
    </row>
    <row r="77" spans="1:14" ht="20.25" customHeight="1">
      <c r="A77" s="210" t="s">
        <v>225</v>
      </c>
      <c r="B77" s="70"/>
      <c r="C77" s="235">
        <f t="shared" si="16"/>
        <v>0</v>
      </c>
      <c r="D77" s="235">
        <f t="shared" si="19"/>
        <v>0</v>
      </c>
      <c r="E77" s="235">
        <f t="shared" si="19"/>
        <v>0</v>
      </c>
      <c r="F77" s="235">
        <f>+E77+F23-F51</f>
        <v>0</v>
      </c>
      <c r="G77" s="235">
        <f t="shared" si="20"/>
        <v>0</v>
      </c>
      <c r="H77" s="235">
        <f t="shared" si="20"/>
        <v>10000</v>
      </c>
      <c r="I77" s="235">
        <f t="shared" si="15"/>
        <v>10000</v>
      </c>
      <c r="J77" s="235">
        <f t="shared" si="15"/>
        <v>10000</v>
      </c>
      <c r="K77" s="235">
        <f t="shared" si="15"/>
        <v>10000</v>
      </c>
      <c r="L77" s="239">
        <f t="shared" si="15"/>
        <v>10000</v>
      </c>
      <c r="M77" s="239">
        <f t="shared" si="6"/>
        <v>0</v>
      </c>
      <c r="N77" s="232"/>
    </row>
    <row r="78" spans="1:14" ht="20.25" customHeight="1">
      <c r="A78" s="32" t="s">
        <v>95</v>
      </c>
      <c r="B78" s="74"/>
      <c r="C78" s="213">
        <f aca="true" t="shared" si="21" ref="C78:K78">SUM(C59:C77)</f>
        <v>321539</v>
      </c>
      <c r="D78" s="213">
        <f t="shared" si="21"/>
        <v>248595</v>
      </c>
      <c r="E78" s="213">
        <f>SUM(E59:E77)</f>
        <v>313151</v>
      </c>
      <c r="F78" s="213">
        <f t="shared" si="21"/>
        <v>615297</v>
      </c>
      <c r="G78" s="213">
        <f t="shared" si="21"/>
        <v>874409</v>
      </c>
      <c r="H78" s="213">
        <f t="shared" si="21"/>
        <v>949472.16</v>
      </c>
      <c r="I78" s="213">
        <f t="shared" si="21"/>
        <v>1009901.28</v>
      </c>
      <c r="J78" s="213">
        <f t="shared" si="21"/>
        <v>1479746.28</v>
      </c>
      <c r="K78" s="213">
        <f t="shared" si="21"/>
        <v>1007278.28</v>
      </c>
      <c r="L78" s="213">
        <f>SUM(L59:L77)</f>
        <v>934860.28</v>
      </c>
      <c r="M78" s="213">
        <f>SUM(M59:M77)</f>
        <v>0</v>
      </c>
      <c r="N78" s="74"/>
    </row>
    <row r="80" spans="4:7" ht="18.75">
      <c r="D80" s="102"/>
      <c r="G80" s="102"/>
    </row>
    <row r="81" ht="18.75">
      <c r="H81" s="102"/>
    </row>
    <row r="82" ht="18.75">
      <c r="F82" s="102"/>
    </row>
    <row r="83" ht="18.75">
      <c r="D83" s="102"/>
    </row>
  </sheetData>
  <mergeCells count="15">
    <mergeCell ref="A1:N1"/>
    <mergeCell ref="A2:N2"/>
    <mergeCell ref="A3:A4"/>
    <mergeCell ref="B3:M3"/>
    <mergeCell ref="N3:N4"/>
    <mergeCell ref="A29:N29"/>
    <mergeCell ref="A30:N30"/>
    <mergeCell ref="A31:A32"/>
    <mergeCell ref="B31:M31"/>
    <mergeCell ref="N31:N32"/>
    <mergeCell ref="A55:N55"/>
    <mergeCell ref="A56:N56"/>
    <mergeCell ref="A57:A58"/>
    <mergeCell ref="B57:M57"/>
    <mergeCell ref="N57:N58"/>
  </mergeCells>
  <printOptions/>
  <pageMargins left="0.75" right="0.23" top="0.71" bottom="1" header="0.5" footer="0.5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C18" sqref="C18"/>
    </sheetView>
  </sheetViews>
  <sheetFormatPr defaultColWidth="9.140625" defaultRowHeight="21.75"/>
  <cols>
    <col min="7" max="7" width="14.28125" style="0" customWidth="1"/>
    <col min="8" max="8" width="18.421875" style="108" customWidth="1"/>
  </cols>
  <sheetData>
    <row r="1" spans="1:8" ht="21.75">
      <c r="A1" s="453" t="s">
        <v>0</v>
      </c>
      <c r="B1" s="453"/>
      <c r="C1" s="453"/>
      <c r="D1" s="453"/>
      <c r="E1" s="453"/>
      <c r="F1" s="453"/>
      <c r="G1" s="453"/>
      <c r="H1" s="453"/>
    </row>
    <row r="2" spans="1:8" ht="23.25">
      <c r="A2" s="438" t="s">
        <v>317</v>
      </c>
      <c r="B2" s="438"/>
      <c r="C2" s="438"/>
      <c r="D2" s="438"/>
      <c r="E2" s="438"/>
      <c r="F2" s="438"/>
      <c r="G2" s="438"/>
      <c r="H2" s="438"/>
    </row>
    <row r="3" spans="1:8" ht="21.75">
      <c r="A3" s="453" t="s">
        <v>264</v>
      </c>
      <c r="B3" s="453"/>
      <c r="C3" s="453"/>
      <c r="D3" s="453"/>
      <c r="E3" s="453"/>
      <c r="F3" s="453"/>
      <c r="G3" s="453"/>
      <c r="H3" s="453"/>
    </row>
    <row r="4" spans="1:8" ht="21.75">
      <c r="A4" s="44"/>
      <c r="B4" s="44"/>
      <c r="C4" s="44"/>
      <c r="D4" s="44"/>
      <c r="E4" s="44"/>
      <c r="F4" s="44"/>
      <c r="G4" s="44"/>
      <c r="H4" s="158"/>
    </row>
    <row r="5" ht="21.75">
      <c r="A5" s="148" t="s">
        <v>315</v>
      </c>
    </row>
    <row r="6" spans="1:8" ht="21.75">
      <c r="A6" t="s">
        <v>316</v>
      </c>
      <c r="H6" s="108">
        <v>429392.39</v>
      </c>
    </row>
    <row r="8" ht="21.75">
      <c r="A8" s="148" t="s">
        <v>312</v>
      </c>
    </row>
    <row r="9" ht="21.75">
      <c r="A9" t="s">
        <v>313</v>
      </c>
    </row>
    <row r="10" spans="1:8" ht="21.75">
      <c r="A10" t="s">
        <v>314</v>
      </c>
      <c r="H10" s="108">
        <v>75000</v>
      </c>
    </row>
    <row r="11" spans="1:8" ht="21.75">
      <c r="A11" t="s">
        <v>318</v>
      </c>
      <c r="H11" s="108">
        <v>891000</v>
      </c>
    </row>
    <row r="12" spans="1:8" ht="21.75">
      <c r="A12" t="s">
        <v>319</v>
      </c>
      <c r="H12" s="108">
        <v>426800</v>
      </c>
    </row>
    <row r="14" spans="1:8" ht="21.75">
      <c r="A14" s="148" t="s">
        <v>320</v>
      </c>
      <c r="H14" s="108">
        <v>111200</v>
      </c>
    </row>
    <row r="16" spans="3:8" s="148" customFormat="1" ht="30" customHeight="1" thickBot="1">
      <c r="C16" s="423" t="s">
        <v>321</v>
      </c>
      <c r="D16" s="423"/>
      <c r="E16" s="423"/>
      <c r="F16" s="423"/>
      <c r="G16" s="423"/>
      <c r="H16" s="290">
        <f>SUM(H6:H15)</f>
        <v>1933392.3900000001</v>
      </c>
    </row>
    <row r="17" ht="22.5" thickTop="1"/>
    <row r="25" spans="7:8" ht="21.75">
      <c r="G25" s="53"/>
      <c r="H25" s="289"/>
    </row>
    <row r="26" ht="21.75">
      <c r="H26" s="289"/>
    </row>
    <row r="27" ht="21.75">
      <c r="H27" s="289"/>
    </row>
    <row r="28" ht="21.75">
      <c r="H28" s="289"/>
    </row>
  </sheetData>
  <mergeCells count="4">
    <mergeCell ref="A2:H2"/>
    <mergeCell ref="C16:G16"/>
    <mergeCell ref="A1:H1"/>
    <mergeCell ref="A3:H3"/>
  </mergeCells>
  <printOptions horizontalCentered="1"/>
  <pageMargins left="0.99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94"/>
  <sheetViews>
    <sheetView workbookViewId="0" topLeftCell="A34">
      <selection activeCell="C48" sqref="C48"/>
    </sheetView>
  </sheetViews>
  <sheetFormatPr defaultColWidth="9.140625" defaultRowHeight="21.75"/>
  <cols>
    <col min="1" max="1" width="16.140625" style="0" customWidth="1"/>
    <col min="2" max="2" width="17.140625" style="0" customWidth="1"/>
    <col min="3" max="3" width="41.28125" style="0" customWidth="1"/>
    <col min="4" max="4" width="8.140625" style="0" customWidth="1"/>
    <col min="5" max="5" width="17.00390625" style="0" customWidth="1"/>
    <col min="6" max="6" width="11.00390625" style="0" bestFit="1" customWidth="1"/>
  </cols>
  <sheetData>
    <row r="1" spans="1:5" ht="21.75">
      <c r="A1" s="47" t="s">
        <v>102</v>
      </c>
      <c r="D1" s="427" t="s">
        <v>195</v>
      </c>
      <c r="E1" s="427"/>
    </row>
    <row r="2" ht="21.75">
      <c r="A2" s="47" t="s">
        <v>103</v>
      </c>
    </row>
    <row r="3" spans="1:5" ht="29.25">
      <c r="A3" s="457" t="s">
        <v>104</v>
      </c>
      <c r="B3" s="457"/>
      <c r="C3" s="457"/>
      <c r="D3" s="457"/>
      <c r="E3" s="457"/>
    </row>
    <row r="4" spans="1:5" ht="21.75">
      <c r="A4" s="423" t="s">
        <v>303</v>
      </c>
      <c r="B4" s="423"/>
      <c r="C4" s="423"/>
      <c r="D4" s="423"/>
      <c r="E4" s="423"/>
    </row>
    <row r="5" spans="1:5" ht="21.75">
      <c r="A5" s="425" t="s">
        <v>105</v>
      </c>
      <c r="B5" s="426"/>
      <c r="C5" s="48"/>
      <c r="D5" s="48"/>
      <c r="E5" s="49" t="s">
        <v>111</v>
      </c>
    </row>
    <row r="6" spans="1:5" ht="21.75">
      <c r="A6" s="48" t="s">
        <v>106</v>
      </c>
      <c r="B6" s="48" t="s">
        <v>108</v>
      </c>
      <c r="C6" s="50" t="s">
        <v>2</v>
      </c>
      <c r="D6" s="50" t="s">
        <v>109</v>
      </c>
      <c r="E6" s="48" t="s">
        <v>108</v>
      </c>
    </row>
    <row r="7" spans="1:5" ht="22.5" thickBot="1">
      <c r="A7" s="51" t="s">
        <v>107</v>
      </c>
      <c r="B7" s="51" t="s">
        <v>107</v>
      </c>
      <c r="C7" s="51"/>
      <c r="D7" s="51" t="s">
        <v>110</v>
      </c>
      <c r="E7" s="51" t="s">
        <v>107</v>
      </c>
    </row>
    <row r="8" spans="1:5" s="148" customFormat="1" ht="28.5" customHeight="1" thickTop="1">
      <c r="A8" s="223"/>
      <c r="B8" s="224">
        <f>10373005.25-42408.95</f>
        <v>10330596.3</v>
      </c>
      <c r="C8" s="225" t="s">
        <v>52</v>
      </c>
      <c r="D8" s="226"/>
      <c r="E8" s="227">
        <v>10601280.26</v>
      </c>
    </row>
    <row r="9" spans="1:5" ht="21.75">
      <c r="A9" s="55"/>
      <c r="B9" s="55"/>
      <c r="C9" s="59" t="s">
        <v>119</v>
      </c>
      <c r="D9" s="45"/>
      <c r="E9" s="56"/>
    </row>
    <row r="10" spans="1:6" ht="24">
      <c r="A10" s="56">
        <v>105000</v>
      </c>
      <c r="B10" s="56">
        <f>105461.84+E10</f>
        <v>107199.51</v>
      </c>
      <c r="C10" t="s">
        <v>112</v>
      </c>
      <c r="D10" s="63" t="s">
        <v>130</v>
      </c>
      <c r="E10" s="82">
        <f>1337.67+400</f>
        <v>1737.67</v>
      </c>
      <c r="F10" s="218"/>
    </row>
    <row r="11" spans="1:6" ht="24">
      <c r="A11" s="56">
        <v>52000</v>
      </c>
      <c r="B11" s="56">
        <f>46116.8+E11</f>
        <v>46916.8</v>
      </c>
      <c r="C11" t="s">
        <v>113</v>
      </c>
      <c r="D11" s="63" t="s">
        <v>131</v>
      </c>
      <c r="E11" s="56">
        <v>800</v>
      </c>
      <c r="F11" s="218"/>
    </row>
    <row r="12" spans="1:6" ht="24">
      <c r="A12" s="56">
        <v>37000</v>
      </c>
      <c r="B12" s="56">
        <f>+E12</f>
        <v>26319.48</v>
      </c>
      <c r="C12" t="s">
        <v>114</v>
      </c>
      <c r="D12" s="63" t="s">
        <v>132</v>
      </c>
      <c r="E12" s="56">
        <v>26319.48</v>
      </c>
      <c r="F12" s="218"/>
    </row>
    <row r="13" spans="1:6" ht="24">
      <c r="A13" s="56">
        <v>0</v>
      </c>
      <c r="B13" s="56">
        <f>800+E13</f>
        <v>800</v>
      </c>
      <c r="C13" t="s">
        <v>115</v>
      </c>
      <c r="D13" s="63" t="s">
        <v>133</v>
      </c>
      <c r="E13" s="56"/>
      <c r="F13" s="218"/>
    </row>
    <row r="14" spans="1:5" ht="21.75">
      <c r="A14" s="56">
        <v>150000</v>
      </c>
      <c r="B14" s="56">
        <v>145117.15</v>
      </c>
      <c r="C14" t="s">
        <v>48</v>
      </c>
      <c r="D14" s="63" t="s">
        <v>134</v>
      </c>
      <c r="E14" s="56"/>
    </row>
    <row r="15" spans="1:5" ht="21.75">
      <c r="A15" s="56">
        <v>6871265</v>
      </c>
      <c r="B15" s="56">
        <f>6723065.36+E15</f>
        <v>7718492.11</v>
      </c>
      <c r="C15" t="s">
        <v>116</v>
      </c>
      <c r="D15" s="63" t="s">
        <v>135</v>
      </c>
      <c r="E15" s="82">
        <f>668163.55+110553.15+40952.06+113739.94+23251.3+4491.75+34275</f>
        <v>995426.75</v>
      </c>
    </row>
    <row r="16" spans="1:5" ht="21.75">
      <c r="A16" s="56">
        <v>3917165</v>
      </c>
      <c r="B16" s="56">
        <v>3917165</v>
      </c>
      <c r="C16" t="s">
        <v>19</v>
      </c>
      <c r="D16" s="63" t="s">
        <v>136</v>
      </c>
      <c r="E16" s="82">
        <v>0</v>
      </c>
    </row>
    <row r="17" spans="1:5" ht="22.5" thickBot="1">
      <c r="A17" s="57">
        <f>SUM(A10:A16)</f>
        <v>11132430</v>
      </c>
      <c r="B17" s="57">
        <f>SUM(B10:B16)</f>
        <v>11962010.05</v>
      </c>
      <c r="C17" s="53"/>
      <c r="D17" s="45"/>
      <c r="E17" s="61">
        <f>SUM(E10:E16)</f>
        <v>1024283.9</v>
      </c>
    </row>
    <row r="18" spans="2:5" ht="22.5" thickTop="1">
      <c r="B18" s="58">
        <f>+E18</f>
        <v>829580.05</v>
      </c>
      <c r="C18" t="s">
        <v>28</v>
      </c>
      <c r="D18" s="45"/>
      <c r="E18" s="56">
        <v>829580.05</v>
      </c>
    </row>
    <row r="19" spans="1:5" ht="21.75">
      <c r="A19" s="53">
        <f>5500+7637.14+1140+931697.88+21833.3+111200+12000-B19</f>
        <v>0</v>
      </c>
      <c r="B19" s="56">
        <f>17500+E19</f>
        <v>1091008.32</v>
      </c>
      <c r="C19" t="s">
        <v>30</v>
      </c>
      <c r="D19" s="45">
        <v>700</v>
      </c>
      <c r="E19" s="56">
        <f>7637.14+1140+931697.88+21833.3+111200</f>
        <v>1073508.32</v>
      </c>
    </row>
    <row r="20" spans="1:5" ht="21.75">
      <c r="A20" s="53"/>
      <c r="B20" s="56">
        <f>3453881+E20</f>
        <v>3879737</v>
      </c>
      <c r="C20" s="109" t="s">
        <v>306</v>
      </c>
      <c r="D20" s="110" t="s">
        <v>137</v>
      </c>
      <c r="E20" s="111">
        <v>425856</v>
      </c>
    </row>
    <row r="21" spans="2:5" ht="21.75">
      <c r="B21" s="56">
        <f>+E21</f>
        <v>3404260</v>
      </c>
      <c r="C21" t="s">
        <v>304</v>
      </c>
      <c r="D21" s="45">
        <v>600</v>
      </c>
      <c r="E21" s="56">
        <f>+3!F31</f>
        <v>3404260</v>
      </c>
    </row>
    <row r="22" spans="2:5" ht="21.75">
      <c r="B22" s="56">
        <f>+E22</f>
        <v>374306.82</v>
      </c>
      <c r="C22" t="s">
        <v>117</v>
      </c>
      <c r="D22" s="45">
        <v>602</v>
      </c>
      <c r="E22" s="56">
        <v>374306.82</v>
      </c>
    </row>
    <row r="23" spans="2:5" ht="21.75">
      <c r="B23" s="56">
        <f>488112.85+E23</f>
        <v>565914.58</v>
      </c>
      <c r="C23" s="109" t="s">
        <v>118</v>
      </c>
      <c r="D23" s="112">
        <v>900</v>
      </c>
      <c r="E23" s="111">
        <f>+2!C13</f>
        <v>77801.73000000001</v>
      </c>
    </row>
    <row r="24" spans="1:5" ht="21.75">
      <c r="A24" s="53">
        <f>114000+169544+75600+191000+14000-B24</f>
        <v>0</v>
      </c>
      <c r="B24" s="56">
        <f>550144+E24</f>
        <v>564144</v>
      </c>
      <c r="C24" t="s">
        <v>101</v>
      </c>
      <c r="D24" s="45">
        <v>704</v>
      </c>
      <c r="E24" s="56">
        <v>14000</v>
      </c>
    </row>
    <row r="25" spans="1:5" ht="21.75">
      <c r="A25" s="53">
        <f>7210+165000+104530+2680+56720+45990-B25</f>
        <v>0</v>
      </c>
      <c r="B25" s="56">
        <f>282100+E25</f>
        <v>382130</v>
      </c>
      <c r="C25" t="s">
        <v>139</v>
      </c>
      <c r="D25" s="63" t="s">
        <v>138</v>
      </c>
      <c r="E25" s="82">
        <f>45990+54040</f>
        <v>100030</v>
      </c>
    </row>
    <row r="26" spans="2:5" ht="21.75">
      <c r="B26" s="56">
        <f>+E26</f>
        <v>284326</v>
      </c>
      <c r="C26" t="s">
        <v>270</v>
      </c>
      <c r="D26" s="45">
        <v>601</v>
      </c>
      <c r="E26" s="56">
        <v>284326</v>
      </c>
    </row>
    <row r="27" spans="2:5" ht="21.75">
      <c r="B27" s="56">
        <f>+E27</f>
        <v>21833.3</v>
      </c>
      <c r="C27" s="284" t="s">
        <v>311</v>
      </c>
      <c r="D27" s="45"/>
      <c r="E27" s="56">
        <v>21833.3</v>
      </c>
    </row>
    <row r="28" spans="2:5" ht="21.75">
      <c r="B28" s="56">
        <f>+E28</f>
        <v>232924.47</v>
      </c>
      <c r="C28" s="53" t="s">
        <v>27</v>
      </c>
      <c r="D28" s="45"/>
      <c r="E28" s="56">
        <v>232924.47</v>
      </c>
    </row>
    <row r="29" spans="2:5" ht="21.75">
      <c r="B29" s="56">
        <f>SUM(B18:B28)</f>
        <v>11630164.540000003</v>
      </c>
      <c r="D29" s="45"/>
      <c r="E29" s="56">
        <f>SUM(E18:E28)</f>
        <v>6838426.69</v>
      </c>
    </row>
    <row r="30" spans="2:5" ht="21.75">
      <c r="B30" s="60">
        <f>+B29+B17</f>
        <v>23592174.590000004</v>
      </c>
      <c r="D30" s="46"/>
      <c r="E30" s="60">
        <f>+E29+E17</f>
        <v>7862710.590000001</v>
      </c>
    </row>
    <row r="31" ht="21.75">
      <c r="D31" s="44"/>
    </row>
    <row r="32" ht="21.75">
      <c r="D32" s="44"/>
    </row>
    <row r="33" ht="21.75">
      <c r="D33" s="44"/>
    </row>
    <row r="34" ht="21.75">
      <c r="D34" s="44"/>
    </row>
    <row r="35" ht="21.75">
      <c r="D35" s="44"/>
    </row>
    <row r="36" ht="21.75">
      <c r="D36" s="44"/>
    </row>
    <row r="37" spans="1:5" ht="21.75">
      <c r="A37" s="424">
        <v>2</v>
      </c>
      <c r="B37" s="424"/>
      <c r="C37" s="424"/>
      <c r="D37" s="424"/>
      <c r="E37" s="424"/>
    </row>
    <row r="38" spans="1:5" ht="21.75">
      <c r="A38" s="425" t="s">
        <v>105</v>
      </c>
      <c r="B38" s="426"/>
      <c r="C38" s="48"/>
      <c r="D38" s="48"/>
      <c r="E38" s="49" t="s">
        <v>111</v>
      </c>
    </row>
    <row r="39" spans="1:5" ht="22.5" customHeight="1">
      <c r="A39" s="48" t="s">
        <v>106</v>
      </c>
      <c r="B39" s="48" t="s">
        <v>108</v>
      </c>
      <c r="C39" s="50" t="s">
        <v>2</v>
      </c>
      <c r="D39" s="50" t="s">
        <v>109</v>
      </c>
      <c r="E39" s="48" t="s">
        <v>108</v>
      </c>
    </row>
    <row r="40" spans="1:5" ht="22.5" thickBot="1">
      <c r="A40" s="51" t="s">
        <v>107</v>
      </c>
      <c r="B40" s="51" t="s">
        <v>107</v>
      </c>
      <c r="C40" s="287"/>
      <c r="D40" s="51" t="s">
        <v>110</v>
      </c>
      <c r="E40" s="51" t="s">
        <v>107</v>
      </c>
    </row>
    <row r="41" spans="1:5" ht="21.75" customHeight="1" thickTop="1">
      <c r="A41" s="55"/>
      <c r="B41" s="55"/>
      <c r="C41" s="59" t="s">
        <v>120</v>
      </c>
      <c r="D41" s="45"/>
      <c r="E41" s="56"/>
    </row>
    <row r="42" spans="1:5" ht="21.75" customHeight="1">
      <c r="A42" s="56">
        <v>400000</v>
      </c>
      <c r="B42" s="201">
        <f>680665.84+E42</f>
        <v>790137.84</v>
      </c>
      <c r="C42" t="s">
        <v>22</v>
      </c>
      <c r="D42" s="65" t="s">
        <v>141</v>
      </c>
      <c r="E42" s="56">
        <v>109472</v>
      </c>
    </row>
    <row r="43" spans="1:5" ht="21.75" customHeight="1">
      <c r="A43" s="56">
        <v>1495307</v>
      </c>
      <c r="B43" s="56">
        <f>1341841.35+E43</f>
        <v>1748217.35</v>
      </c>
      <c r="C43" t="s">
        <v>12</v>
      </c>
      <c r="D43" s="45">
        <v>100</v>
      </c>
      <c r="E43" s="56">
        <v>406376</v>
      </c>
    </row>
    <row r="44" spans="1:5" ht="21.75" customHeight="1">
      <c r="A44" s="56">
        <v>169890</v>
      </c>
      <c r="B44" s="56">
        <f>185860+E44</f>
        <v>206450</v>
      </c>
      <c r="C44" t="s">
        <v>13</v>
      </c>
      <c r="D44" s="45">
        <v>120</v>
      </c>
      <c r="E44" s="56">
        <v>20590</v>
      </c>
    </row>
    <row r="45" spans="1:5" ht="21.75" customHeight="1">
      <c r="A45" s="56">
        <v>114240</v>
      </c>
      <c r="B45" s="56">
        <v>34160</v>
      </c>
      <c r="C45" t="s">
        <v>14</v>
      </c>
      <c r="D45" s="45">
        <v>130</v>
      </c>
      <c r="E45" s="56">
        <v>0</v>
      </c>
    </row>
    <row r="46" spans="1:5" ht="21.75" customHeight="1">
      <c r="A46" s="56">
        <v>1188030</v>
      </c>
      <c r="B46" s="291">
        <f>978103.5+E46</f>
        <v>1092111.5</v>
      </c>
      <c r="C46" t="s">
        <v>15</v>
      </c>
      <c r="D46" s="45">
        <v>200</v>
      </c>
      <c r="E46" s="56">
        <v>114008</v>
      </c>
    </row>
    <row r="47" spans="1:5" ht="21.75" customHeight="1">
      <c r="A47" s="56">
        <v>1546708</v>
      </c>
      <c r="B47" s="292">
        <f>515918.38+E47</f>
        <v>831593.38</v>
      </c>
      <c r="C47" t="s">
        <v>16</v>
      </c>
      <c r="D47" s="45">
        <v>250</v>
      </c>
      <c r="E47" s="56">
        <v>315675</v>
      </c>
    </row>
    <row r="48" spans="1:5" ht="21.75" customHeight="1">
      <c r="A48" s="56">
        <v>234069</v>
      </c>
      <c r="B48" s="56">
        <f>167525.4+E48</f>
        <v>172298.4</v>
      </c>
      <c r="C48" t="s">
        <v>17</v>
      </c>
      <c r="D48" s="45">
        <v>270</v>
      </c>
      <c r="E48" s="56">
        <v>4773</v>
      </c>
    </row>
    <row r="49" spans="1:5" ht="21.75" customHeight="1">
      <c r="A49" s="56">
        <v>68806</v>
      </c>
      <c r="B49" s="56">
        <f>59512.27+E49</f>
        <v>68566.26999999999</v>
      </c>
      <c r="C49" t="s">
        <v>18</v>
      </c>
      <c r="D49" s="45">
        <v>300</v>
      </c>
      <c r="E49" s="56">
        <v>9054</v>
      </c>
    </row>
    <row r="50" spans="1:5" ht="21.75" customHeight="1">
      <c r="A50" s="56">
        <v>675040</v>
      </c>
      <c r="B50" s="56">
        <f>227264+E50</f>
        <v>247264</v>
      </c>
      <c r="C50" t="s">
        <v>19</v>
      </c>
      <c r="D50" s="45">
        <v>400</v>
      </c>
      <c r="E50" s="56">
        <v>20000</v>
      </c>
    </row>
    <row r="51" spans="1:5" ht="21.75" customHeight="1">
      <c r="A51" s="56">
        <v>463800</v>
      </c>
      <c r="B51" s="56">
        <f>109331.59+E51</f>
        <v>478957.8899999999</v>
      </c>
      <c r="C51" t="s">
        <v>20</v>
      </c>
      <c r="D51" s="45">
        <v>450</v>
      </c>
      <c r="E51" s="56">
        <f>799018.69-429392.39</f>
        <v>369626.29999999993</v>
      </c>
    </row>
    <row r="52" spans="1:5" ht="21.75" customHeight="1">
      <c r="A52" s="56">
        <f>2029000+4124000</f>
        <v>6153000</v>
      </c>
      <c r="B52" s="56">
        <f>801755+E52</f>
        <v>4423655</v>
      </c>
      <c r="C52" t="s">
        <v>21</v>
      </c>
      <c r="D52" s="45">
        <v>500</v>
      </c>
      <c r="E52" s="56">
        <v>3621900</v>
      </c>
    </row>
    <row r="53" spans="1:5" ht="21.75" customHeight="1">
      <c r="A53" s="56"/>
      <c r="B53" s="56">
        <f>98000+E53</f>
        <v>109000</v>
      </c>
      <c r="C53" t="s">
        <v>121</v>
      </c>
      <c r="D53" s="45">
        <v>550</v>
      </c>
      <c r="E53" s="56">
        <v>11000</v>
      </c>
    </row>
    <row r="54" spans="1:5" ht="21.75" customHeight="1" thickBot="1">
      <c r="A54" s="57">
        <f>SUM(A42:A52)</f>
        <v>12508890</v>
      </c>
      <c r="B54" s="57">
        <f>SUM(B42:B53)</f>
        <v>10202411.629999999</v>
      </c>
      <c r="C54" s="176"/>
      <c r="D54" s="45"/>
      <c r="E54" s="57">
        <f>SUM(E42:E53)</f>
        <v>5002474.3</v>
      </c>
    </row>
    <row r="55" spans="2:5" ht="21.75" customHeight="1" thickTop="1">
      <c r="B55" s="58">
        <f>1504000+E55</f>
        <v>1933392.3900000001</v>
      </c>
      <c r="C55" t="s">
        <v>28</v>
      </c>
      <c r="D55" s="45"/>
      <c r="E55" s="56">
        <v>429392.39</v>
      </c>
    </row>
    <row r="56" spans="1:5" ht="21.75" customHeight="1">
      <c r="A56" s="53">
        <f>154644+3852+309288+298338+40500+242672.6+890900+81200+232924.47+42408.95-B56</f>
        <v>0</v>
      </c>
      <c r="B56" s="184">
        <f>1940342.6+E56</f>
        <v>2296728.02</v>
      </c>
      <c r="C56" s="185" t="s">
        <v>30</v>
      </c>
      <c r="D56" s="186">
        <v>700</v>
      </c>
      <c r="E56" s="184">
        <f>81200+232924.47+42408.95-148</f>
        <v>356385.42</v>
      </c>
    </row>
    <row r="57" spans="1:5" ht="21.75" customHeight="1">
      <c r="A57" s="53"/>
      <c r="B57" s="82">
        <f>3045876.72+E57</f>
        <v>3879737</v>
      </c>
      <c r="C57" s="109" t="s">
        <v>305</v>
      </c>
      <c r="D57" s="112">
        <v>3002</v>
      </c>
      <c r="E57" s="111">
        <f>374306.82+560553.46-101000</f>
        <v>833860.28</v>
      </c>
    </row>
    <row r="58" spans="1:5" ht="21.75" customHeight="1">
      <c r="A58" s="53">
        <f>647262.52+280000+104700+16500+596000+227217.52+23860.3+20292.52+7637.14-B58</f>
        <v>0</v>
      </c>
      <c r="B58" s="182">
        <f>1919400.64+E58</f>
        <v>1923470</v>
      </c>
      <c r="C58" t="s">
        <v>304</v>
      </c>
      <c r="D58" s="45">
        <v>600</v>
      </c>
      <c r="E58" s="56">
        <f>7637.14-3567.78</f>
        <v>4069.36</v>
      </c>
    </row>
    <row r="59" spans="1:5" ht="21.75" customHeight="1">
      <c r="A59" s="53">
        <f>5500+304610+50098.2+1140-B59</f>
        <v>0</v>
      </c>
      <c r="B59" s="182">
        <f>336347.9+E59</f>
        <v>361348.2</v>
      </c>
      <c r="C59" t="s">
        <v>117</v>
      </c>
      <c r="D59" s="45">
        <v>602</v>
      </c>
      <c r="E59" s="56">
        <f>1140+23860.3</f>
        <v>25000.3</v>
      </c>
    </row>
    <row r="60" spans="2:5" ht="21.75" customHeight="1">
      <c r="B60" s="56">
        <f>662270.85+E60</f>
        <v>780892.5499999999</v>
      </c>
      <c r="C60" s="109" t="s">
        <v>118</v>
      </c>
      <c r="D60" s="112">
        <v>900</v>
      </c>
      <c r="E60" s="111">
        <f>+2!D13</f>
        <v>118621.7</v>
      </c>
    </row>
    <row r="61" spans="1:5" ht="21.75" customHeight="1">
      <c r="A61" s="185"/>
      <c r="B61" s="184">
        <f>550144+E61</f>
        <v>550144</v>
      </c>
      <c r="C61" s="185" t="s">
        <v>101</v>
      </c>
      <c r="D61" s="186">
        <v>704</v>
      </c>
      <c r="E61" s="184">
        <v>0</v>
      </c>
    </row>
    <row r="62" spans="1:5" ht="21.75" customHeight="1">
      <c r="A62" s="53">
        <f>33000+3620+3590+99000+104530+2680+50500+6220+36520+4330+33000+5140-B62</f>
        <v>0</v>
      </c>
      <c r="B62" s="56">
        <f>300460+E62</f>
        <v>382130</v>
      </c>
      <c r="C62" t="s">
        <v>140</v>
      </c>
      <c r="D62" s="63" t="s">
        <v>138</v>
      </c>
      <c r="E62" s="56">
        <f>5140+50500+6220+36520+4330+33000-54040</f>
        <v>81670</v>
      </c>
    </row>
    <row r="63" spans="1:5" ht="21.75" customHeight="1">
      <c r="A63" s="53"/>
      <c r="B63" s="56">
        <f>+E63</f>
        <v>42408.95</v>
      </c>
      <c r="C63" s="53" t="s">
        <v>11</v>
      </c>
      <c r="D63" s="45"/>
      <c r="E63" s="56">
        <v>42408.95</v>
      </c>
    </row>
    <row r="64" spans="2:5" ht="21.75" customHeight="1">
      <c r="B64" s="60">
        <f>SUM(B55:B63)</f>
        <v>12150251.11</v>
      </c>
      <c r="D64" s="45"/>
      <c r="E64" s="60">
        <f>SUM(E55:E63)</f>
        <v>1891408.4000000001</v>
      </c>
    </row>
    <row r="65" spans="2:5" ht="21.75" customHeight="1">
      <c r="B65" s="60">
        <f>+B64+B54</f>
        <v>22352662.74</v>
      </c>
      <c r="C65" s="44" t="s">
        <v>125</v>
      </c>
      <c r="D65" s="45"/>
      <c r="E65" s="60">
        <f>+E64+E54</f>
        <v>6893882.7</v>
      </c>
    </row>
    <row r="66" spans="2:5" ht="21.75" customHeight="1">
      <c r="B66" s="56"/>
      <c r="C66" s="32" t="s">
        <v>126</v>
      </c>
      <c r="D66" s="45"/>
      <c r="E66" s="56"/>
    </row>
    <row r="67" spans="2:5" ht="21.75" customHeight="1">
      <c r="B67" s="56">
        <f>+B30-B65</f>
        <v>1239511.8500000052</v>
      </c>
      <c r="C67" s="44" t="s">
        <v>127</v>
      </c>
      <c r="D67" s="45"/>
      <c r="E67" s="56">
        <f>+E30-E65</f>
        <v>968827.8900000006</v>
      </c>
    </row>
    <row r="68" spans="2:5" ht="21.75" customHeight="1">
      <c r="B68" s="56"/>
      <c r="C68" s="32" t="s">
        <v>128</v>
      </c>
      <c r="D68" s="45"/>
      <c r="E68" s="56"/>
    </row>
    <row r="69" spans="2:5" ht="21.75" customHeight="1">
      <c r="B69" s="222">
        <f>+B8+B67</f>
        <v>11570108.150000006</v>
      </c>
      <c r="C69" s="44" t="s">
        <v>129</v>
      </c>
      <c r="D69" s="46"/>
      <c r="E69" s="222">
        <f>+E8+E67</f>
        <v>11570108.15</v>
      </c>
    </row>
    <row r="70" spans="2:5" ht="19.5" customHeight="1">
      <c r="B70" s="177"/>
      <c r="C70" s="44"/>
      <c r="D70" s="178"/>
      <c r="E70" s="177">
        <f>+B69-E69</f>
        <v>0</v>
      </c>
    </row>
    <row r="71" ht="24" customHeight="1">
      <c r="A71" t="s">
        <v>237</v>
      </c>
    </row>
    <row r="72" spans="1:4" ht="23.25" customHeight="1">
      <c r="A72" t="s">
        <v>144</v>
      </c>
      <c r="C72" t="s">
        <v>239</v>
      </c>
      <c r="D72" t="s">
        <v>233</v>
      </c>
    </row>
    <row r="73" ht="23.25" customHeight="1"/>
    <row r="74" spans="1:5" ht="23.25" customHeight="1">
      <c r="A74" s="47" t="s">
        <v>102</v>
      </c>
      <c r="D74" s="427" t="s">
        <v>195</v>
      </c>
      <c r="E74" s="427"/>
    </row>
    <row r="75" ht="21.75">
      <c r="A75" s="47" t="s">
        <v>103</v>
      </c>
    </row>
    <row r="76" spans="1:5" ht="29.25">
      <c r="A76" s="457" t="s">
        <v>104</v>
      </c>
      <c r="B76" s="457"/>
      <c r="C76" s="457"/>
      <c r="D76" s="457"/>
      <c r="E76" s="457"/>
    </row>
    <row r="77" spans="1:5" ht="21.75">
      <c r="A77" s="423" t="s">
        <v>303</v>
      </c>
      <c r="B77" s="423"/>
      <c r="C77" s="423"/>
      <c r="D77" s="423"/>
      <c r="E77" s="423"/>
    </row>
    <row r="78" spans="1:5" ht="21.75">
      <c r="A78" s="425" t="s">
        <v>105</v>
      </c>
      <c r="B78" s="426"/>
      <c r="C78" s="48"/>
      <c r="D78" s="48"/>
      <c r="E78" s="49" t="s">
        <v>111</v>
      </c>
    </row>
    <row r="79" spans="1:5" ht="21.75">
      <c r="A79" s="48" t="s">
        <v>106</v>
      </c>
      <c r="B79" s="48" t="s">
        <v>108</v>
      </c>
      <c r="C79" s="50" t="s">
        <v>2</v>
      </c>
      <c r="D79" s="50" t="s">
        <v>109</v>
      </c>
      <c r="E79" s="48" t="s">
        <v>108</v>
      </c>
    </row>
    <row r="80" spans="1:5" ht="22.5" thickBot="1">
      <c r="A80" s="51" t="s">
        <v>107</v>
      </c>
      <c r="B80" s="51" t="s">
        <v>107</v>
      </c>
      <c r="C80" s="51"/>
      <c r="D80" s="51" t="s">
        <v>110</v>
      </c>
      <c r="E80" s="51" t="s">
        <v>107</v>
      </c>
    </row>
    <row r="81" spans="1:5" ht="22.5" thickTop="1">
      <c r="A81" s="223"/>
      <c r="B81" s="224">
        <f>10373005.25-42408.95</f>
        <v>10330596.3</v>
      </c>
      <c r="C81" s="225" t="s">
        <v>52</v>
      </c>
      <c r="D81" s="226"/>
      <c r="E81" s="227">
        <v>10601280.26</v>
      </c>
    </row>
    <row r="82" spans="1:5" s="148" customFormat="1" ht="28.5" customHeight="1">
      <c r="A82" s="55"/>
      <c r="B82" s="55"/>
      <c r="C82" s="59" t="s">
        <v>119</v>
      </c>
      <c r="D82" s="45"/>
      <c r="E82" s="56"/>
    </row>
    <row r="83" spans="1:5" ht="21.75">
      <c r="A83" s="56">
        <f>40000+25000+2000</f>
        <v>67000</v>
      </c>
      <c r="B83" s="56">
        <f>105461.84+E83</f>
        <v>107199.51</v>
      </c>
      <c r="C83" t="s">
        <v>112</v>
      </c>
      <c r="D83" s="63" t="s">
        <v>130</v>
      </c>
      <c r="E83" s="82">
        <f>1337.67+400</f>
        <v>1737.67</v>
      </c>
    </row>
    <row r="84" spans="1:6" ht="24">
      <c r="A84" s="56">
        <f>2000+95000</f>
        <v>97000</v>
      </c>
      <c r="B84" s="56">
        <f>46116.8+E84</f>
        <v>46916.8</v>
      </c>
      <c r="C84" t="s">
        <v>113</v>
      </c>
      <c r="D84" s="63" t="s">
        <v>131</v>
      </c>
      <c r="E84" s="56">
        <v>800</v>
      </c>
      <c r="F84" s="218"/>
    </row>
    <row r="85" spans="1:6" ht="24">
      <c r="A85" s="56">
        <f>3000+5000</f>
        <v>8000</v>
      </c>
      <c r="B85" s="56">
        <f>+E85</f>
        <v>26319.48</v>
      </c>
      <c r="C85" t="s">
        <v>114</v>
      </c>
      <c r="D85" s="63" t="s">
        <v>132</v>
      </c>
      <c r="E85" s="56">
        <v>26319.48</v>
      </c>
      <c r="F85" s="218"/>
    </row>
    <row r="86" spans="1:6" ht="24">
      <c r="A86" s="56"/>
      <c r="B86" s="56">
        <f>800+E86</f>
        <v>800</v>
      </c>
      <c r="C86" t="s">
        <v>115</v>
      </c>
      <c r="D86" s="63" t="s">
        <v>133</v>
      </c>
      <c r="E86" s="56"/>
      <c r="F86" s="218"/>
    </row>
    <row r="87" spans="1:6" ht="24">
      <c r="A87" s="56">
        <v>70000</v>
      </c>
      <c r="B87" s="56">
        <v>145117.15</v>
      </c>
      <c r="C87" t="s">
        <v>48</v>
      </c>
      <c r="D87" s="63" t="s">
        <v>134</v>
      </c>
      <c r="E87" s="56"/>
      <c r="F87" s="218"/>
    </row>
    <row r="88" spans="1:5" ht="21.75">
      <c r="A88" s="56">
        <f>590000+982800+350000+4746090+5000+15000+25000</f>
        <v>6713890</v>
      </c>
      <c r="B88" s="56">
        <f>6723065.36+E88</f>
        <v>7718492.11</v>
      </c>
      <c r="C88" t="s">
        <v>116</v>
      </c>
      <c r="D88" s="63" t="s">
        <v>135</v>
      </c>
      <c r="E88" s="82">
        <f>668163.55+110553.15+40952.06+113739.94+23251.3+4491.75+34275</f>
        <v>995426.75</v>
      </c>
    </row>
    <row r="89" spans="1:5" ht="21.75">
      <c r="A89" s="56">
        <v>4124000</v>
      </c>
      <c r="B89" s="56">
        <v>3917165</v>
      </c>
      <c r="C89" t="s">
        <v>19</v>
      </c>
      <c r="D89" s="63" t="s">
        <v>136</v>
      </c>
      <c r="E89" s="82">
        <v>0</v>
      </c>
    </row>
    <row r="90" spans="1:5" ht="22.5" thickBot="1">
      <c r="A90" s="57">
        <f>SUM(A83:A89)</f>
        <v>11079890</v>
      </c>
      <c r="B90" s="57">
        <f>SUM(B83:B89)</f>
        <v>11962010.05</v>
      </c>
      <c r="C90" s="53"/>
      <c r="D90" s="45"/>
      <c r="E90" s="61">
        <f>SUM(E83:E89)</f>
        <v>1024283.9</v>
      </c>
    </row>
    <row r="91" spans="2:5" ht="22.5" thickTop="1">
      <c r="B91" s="58">
        <f>+E91</f>
        <v>829580.05</v>
      </c>
      <c r="C91" t="s">
        <v>28</v>
      </c>
      <c r="D91" s="45"/>
      <c r="E91" s="56">
        <v>829580.05</v>
      </c>
    </row>
    <row r="92" spans="1:5" ht="24">
      <c r="A92" s="53"/>
      <c r="B92" s="56">
        <f>17500+E92</f>
        <v>956295.02</v>
      </c>
      <c r="C92" t="s">
        <v>307</v>
      </c>
      <c r="D92" s="45">
        <v>700</v>
      </c>
      <c r="E92" s="56">
        <f>7637.14+1140+930017.88</f>
        <v>938795.02</v>
      </c>
    </row>
    <row r="93" spans="2:5" ht="21.75">
      <c r="B93" s="56">
        <f>3453881+E93</f>
        <v>3453881</v>
      </c>
      <c r="C93" s="109" t="s">
        <v>306</v>
      </c>
      <c r="D93" s="110" t="s">
        <v>137</v>
      </c>
      <c r="E93" s="111"/>
    </row>
    <row r="94" spans="2:5" ht="21.75">
      <c r="B94" s="56">
        <f>+E94</f>
        <v>0</v>
      </c>
      <c r="C94" t="s">
        <v>304</v>
      </c>
      <c r="D94" s="45">
        <v>600</v>
      </c>
      <c r="E94" s="56">
        <f>+3!F104</f>
        <v>0</v>
      </c>
    </row>
    <row r="95" spans="2:5" ht="21.75">
      <c r="B95" s="56">
        <f>+E95</f>
        <v>374306.82</v>
      </c>
      <c r="C95" t="s">
        <v>117</v>
      </c>
      <c r="D95" s="45">
        <v>602</v>
      </c>
      <c r="E95" s="56">
        <v>374306.82</v>
      </c>
    </row>
    <row r="96" spans="2:5" ht="21.75">
      <c r="B96" s="56">
        <f>488112.85+E96</f>
        <v>488112.85</v>
      </c>
      <c r="C96" s="109" t="s">
        <v>118</v>
      </c>
      <c r="D96" s="112">
        <v>900</v>
      </c>
      <c r="E96" s="111">
        <f>+2!C86</f>
        <v>0</v>
      </c>
    </row>
    <row r="97" spans="2:5" ht="21.75">
      <c r="B97" s="56">
        <v>550144</v>
      </c>
      <c r="C97" t="s">
        <v>101</v>
      </c>
      <c r="D97" s="45">
        <v>704</v>
      </c>
      <c r="E97" s="56">
        <v>0</v>
      </c>
    </row>
    <row r="98" spans="2:5" ht="21.75">
      <c r="B98" s="56">
        <f>282100+E98</f>
        <v>328090</v>
      </c>
      <c r="C98" t="s">
        <v>139</v>
      </c>
      <c r="D98" s="63" t="s">
        <v>138</v>
      </c>
      <c r="E98" s="82">
        <v>45990</v>
      </c>
    </row>
    <row r="99" spans="2:5" ht="21.75">
      <c r="B99" s="56">
        <f>+E99</f>
        <v>284326</v>
      </c>
      <c r="C99" t="s">
        <v>270</v>
      </c>
      <c r="D99" s="45">
        <v>601</v>
      </c>
      <c r="E99" s="56">
        <v>284326</v>
      </c>
    </row>
    <row r="100" spans="2:5" ht="21.75">
      <c r="B100" s="56"/>
      <c r="C100" s="284" t="s">
        <v>308</v>
      </c>
      <c r="D100" s="45"/>
      <c r="E100" s="56"/>
    </row>
    <row r="101" spans="2:5" ht="21.75">
      <c r="B101" s="56"/>
      <c r="C101" s="53"/>
      <c r="D101" s="45"/>
      <c r="E101" s="56"/>
    </row>
    <row r="102" spans="2:5" ht="21.75">
      <c r="B102" s="56">
        <f>SUM(B91:B101)</f>
        <v>7264735.74</v>
      </c>
      <c r="D102" s="45"/>
      <c r="E102" s="56">
        <f>SUM(E91:E101)</f>
        <v>2472997.89</v>
      </c>
    </row>
    <row r="103" spans="2:5" ht="21.75">
      <c r="B103" s="60">
        <f>+B102+B90</f>
        <v>19226745.79</v>
      </c>
      <c r="D103" s="46"/>
      <c r="E103" s="60">
        <f>+E102+E90</f>
        <v>3497281.79</v>
      </c>
    </row>
    <row r="104" ht="21.75">
      <c r="D104" s="44"/>
    </row>
    <row r="105" ht="21.75">
      <c r="D105" s="44"/>
    </row>
    <row r="106" ht="21.75">
      <c r="D106" s="44"/>
    </row>
    <row r="107" ht="21.75">
      <c r="D107" s="44"/>
    </row>
    <row r="108" ht="21.75">
      <c r="D108" s="44"/>
    </row>
    <row r="109" ht="21.75">
      <c r="D109" s="44"/>
    </row>
    <row r="110" spans="1:5" ht="21.75">
      <c r="A110" s="424">
        <v>2</v>
      </c>
      <c r="B110" s="424"/>
      <c r="C110" s="424"/>
      <c r="D110" s="424"/>
      <c r="E110" s="424"/>
    </row>
    <row r="111" spans="1:5" ht="21.75">
      <c r="A111" s="425" t="s">
        <v>105</v>
      </c>
      <c r="B111" s="426"/>
      <c r="C111" s="48"/>
      <c r="D111" s="48"/>
      <c r="E111" s="49" t="s">
        <v>111</v>
      </c>
    </row>
    <row r="112" spans="1:5" ht="21.75">
      <c r="A112" s="48" t="s">
        <v>106</v>
      </c>
      <c r="B112" s="48" t="s">
        <v>108</v>
      </c>
      <c r="C112" s="50" t="s">
        <v>2</v>
      </c>
      <c r="D112" s="50" t="s">
        <v>109</v>
      </c>
      <c r="E112" s="48" t="s">
        <v>108</v>
      </c>
    </row>
    <row r="113" spans="1:5" ht="22.5" customHeight="1" thickBot="1">
      <c r="A113" s="51" t="s">
        <v>107</v>
      </c>
      <c r="B113" s="51" t="s">
        <v>107</v>
      </c>
      <c r="C113" s="287"/>
      <c r="D113" s="51" t="s">
        <v>110</v>
      </c>
      <c r="E113" s="51" t="s">
        <v>107</v>
      </c>
    </row>
    <row r="114" spans="1:5" ht="22.5" thickTop="1">
      <c r="A114" s="55"/>
      <c r="B114" s="55"/>
      <c r="C114" s="59" t="s">
        <v>120</v>
      </c>
      <c r="D114" s="45"/>
      <c r="E114" s="56"/>
    </row>
    <row r="115" spans="1:5" ht="21.75">
      <c r="A115" s="56">
        <v>400000</v>
      </c>
      <c r="B115" s="201">
        <f>680665.84+E115</f>
        <v>790137.84</v>
      </c>
      <c r="C115" t="s">
        <v>22</v>
      </c>
      <c r="D115" s="65" t="s">
        <v>141</v>
      </c>
      <c r="E115" s="56">
        <v>109472</v>
      </c>
    </row>
    <row r="116" spans="1:5" ht="21.75">
      <c r="A116" s="56">
        <v>1495307</v>
      </c>
      <c r="B116" s="56">
        <f>1341841.35+E116</f>
        <v>1748217.35</v>
      </c>
      <c r="C116" t="s">
        <v>12</v>
      </c>
      <c r="D116" s="45">
        <v>100</v>
      </c>
      <c r="E116" s="56">
        <v>406376</v>
      </c>
    </row>
    <row r="117" spans="1:5" ht="21.75">
      <c r="A117" s="56">
        <v>169890</v>
      </c>
      <c r="B117" s="56">
        <f>185860+E117</f>
        <v>206450</v>
      </c>
      <c r="C117" t="s">
        <v>13</v>
      </c>
      <c r="D117" s="45">
        <v>120</v>
      </c>
      <c r="E117" s="56">
        <v>20590</v>
      </c>
    </row>
    <row r="118" spans="1:5" ht="21.75">
      <c r="A118" s="56">
        <v>114240</v>
      </c>
      <c r="B118" s="56">
        <v>34160</v>
      </c>
      <c r="C118" t="s">
        <v>14</v>
      </c>
      <c r="D118" s="45">
        <v>130</v>
      </c>
      <c r="E118" s="56">
        <v>0</v>
      </c>
    </row>
    <row r="119" spans="1:5" ht="21.75">
      <c r="A119" s="56">
        <v>1188030</v>
      </c>
      <c r="B119" s="288">
        <f>978103.5+E119</f>
        <v>1092111.5</v>
      </c>
      <c r="C119" t="s">
        <v>15</v>
      </c>
      <c r="D119" s="45">
        <v>200</v>
      </c>
      <c r="E119" s="56">
        <v>114008</v>
      </c>
    </row>
    <row r="120" spans="1:5" ht="21.75">
      <c r="A120" s="56">
        <v>1546708</v>
      </c>
      <c r="B120" s="285">
        <f>515918.38+E120</f>
        <v>831593.38</v>
      </c>
      <c r="C120" t="s">
        <v>16</v>
      </c>
      <c r="D120" s="45">
        <v>250</v>
      </c>
      <c r="E120" s="56">
        <v>315675</v>
      </c>
    </row>
    <row r="121" spans="1:5" ht="21.75">
      <c r="A121" s="56">
        <v>234069</v>
      </c>
      <c r="B121" s="56">
        <f>167525.4+E121</f>
        <v>172298.4</v>
      </c>
      <c r="C121" t="s">
        <v>17</v>
      </c>
      <c r="D121" s="45">
        <v>270</v>
      </c>
      <c r="E121" s="56">
        <v>4773</v>
      </c>
    </row>
    <row r="122" spans="1:5" ht="21.75">
      <c r="A122" s="56">
        <v>68806</v>
      </c>
      <c r="B122" s="56">
        <f>59512.27+E122</f>
        <v>68566.26999999999</v>
      </c>
      <c r="C122" t="s">
        <v>18</v>
      </c>
      <c r="D122" s="45">
        <v>300</v>
      </c>
      <c r="E122" s="56">
        <v>9054</v>
      </c>
    </row>
    <row r="123" spans="1:5" ht="21.75">
      <c r="A123" s="56">
        <v>675040</v>
      </c>
      <c r="B123" s="56">
        <f>227264+E123</f>
        <v>247264</v>
      </c>
      <c r="C123" t="s">
        <v>19</v>
      </c>
      <c r="D123" s="45">
        <v>400</v>
      </c>
      <c r="E123" s="56">
        <v>20000</v>
      </c>
    </row>
    <row r="124" spans="1:5" ht="21.75">
      <c r="A124" s="56">
        <v>463800</v>
      </c>
      <c r="B124" s="56">
        <f>109331.59+E124</f>
        <v>478957.8899999999</v>
      </c>
      <c r="C124" t="s">
        <v>20</v>
      </c>
      <c r="D124" s="45">
        <v>450</v>
      </c>
      <c r="E124" s="56">
        <f>799018.69-429392.39</f>
        <v>369626.29999999993</v>
      </c>
    </row>
    <row r="125" spans="1:5" ht="21.75">
      <c r="A125" s="56">
        <f>2029000+4124000</f>
        <v>6153000</v>
      </c>
      <c r="B125" s="56">
        <f>801755+E125</f>
        <v>4423655</v>
      </c>
      <c r="C125" t="s">
        <v>21</v>
      </c>
      <c r="D125" s="45">
        <v>500</v>
      </c>
      <c r="E125" s="56">
        <v>3621900</v>
      </c>
    </row>
    <row r="126" spans="1:5" ht="21.75">
      <c r="A126" s="56"/>
      <c r="B126" s="56">
        <f>98000+E126</f>
        <v>109000</v>
      </c>
      <c r="C126" t="s">
        <v>121</v>
      </c>
      <c r="D126" s="45">
        <v>550</v>
      </c>
      <c r="E126" s="56">
        <v>11000</v>
      </c>
    </row>
    <row r="127" spans="1:5" ht="30" thickBot="1">
      <c r="A127" s="57">
        <f>SUM(A115:A125)</f>
        <v>12508890</v>
      </c>
      <c r="B127" s="57">
        <f>SUM(B115:B126)</f>
        <v>10202411.629999999</v>
      </c>
      <c r="C127" s="176"/>
      <c r="D127" s="45"/>
      <c r="E127" s="57">
        <f>SUM(E115:E126)</f>
        <v>5002474.3</v>
      </c>
    </row>
    <row r="128" spans="2:5" ht="22.5" thickTop="1">
      <c r="B128" s="58">
        <f>1504000+E128</f>
        <v>1933392.3900000001</v>
      </c>
      <c r="C128" t="s">
        <v>28</v>
      </c>
      <c r="D128" s="45"/>
      <c r="E128" s="56">
        <v>429392.39</v>
      </c>
    </row>
    <row r="129" spans="1:5" ht="24" customHeight="1">
      <c r="A129" s="183"/>
      <c r="B129" s="184">
        <f>1940342.6+E129</f>
        <v>2296456.02</v>
      </c>
      <c r="C129" s="185" t="s">
        <v>30</v>
      </c>
      <c r="D129" s="186">
        <v>700</v>
      </c>
      <c r="E129" s="184">
        <f>81200+232504.47+42408.95</f>
        <v>356113.42</v>
      </c>
    </row>
    <row r="130" spans="2:5" ht="24" customHeight="1">
      <c r="B130" s="82">
        <f>3045876.72+E130</f>
        <v>3420183.54</v>
      </c>
      <c r="C130" s="109" t="s">
        <v>305</v>
      </c>
      <c r="D130" s="112">
        <v>3002</v>
      </c>
      <c r="E130" s="111">
        <v>374306.82</v>
      </c>
    </row>
    <row r="131" spans="2:5" ht="24" customHeight="1">
      <c r="B131" s="182">
        <f>1919400.64+E131</f>
        <v>1927037.7799999998</v>
      </c>
      <c r="C131" t="s">
        <v>304</v>
      </c>
      <c r="D131" s="45">
        <v>600</v>
      </c>
      <c r="E131" s="56">
        <v>7637.14</v>
      </c>
    </row>
    <row r="132" spans="2:5" ht="24" customHeight="1">
      <c r="B132" s="182">
        <f>336347.9+E132</f>
        <v>337487.9</v>
      </c>
      <c r="C132" t="s">
        <v>117</v>
      </c>
      <c r="D132" s="45">
        <v>602</v>
      </c>
      <c r="E132" s="56">
        <v>1140</v>
      </c>
    </row>
    <row r="133" spans="2:5" ht="24" customHeight="1">
      <c r="B133" s="56">
        <f>662270.85+E133</f>
        <v>662270.85</v>
      </c>
      <c r="C133" s="109" t="s">
        <v>118</v>
      </c>
      <c r="D133" s="112">
        <v>900</v>
      </c>
      <c r="E133" s="111">
        <f>+2!D86</f>
        <v>0</v>
      </c>
    </row>
    <row r="134" spans="1:5" ht="24" customHeight="1">
      <c r="A134" s="185"/>
      <c r="B134" s="184">
        <f>550144+E134</f>
        <v>550144</v>
      </c>
      <c r="C134" s="185" t="s">
        <v>101</v>
      </c>
      <c r="D134" s="186">
        <v>704</v>
      </c>
      <c r="E134" s="184">
        <v>0</v>
      </c>
    </row>
    <row r="135" spans="2:5" ht="24" customHeight="1">
      <c r="B135" s="56">
        <f>300460+E135</f>
        <v>436170</v>
      </c>
      <c r="C135" t="s">
        <v>140</v>
      </c>
      <c r="D135" s="63" t="s">
        <v>138</v>
      </c>
      <c r="E135" s="56">
        <f>5140+50500+6220+36520+4330+33000</f>
        <v>135710</v>
      </c>
    </row>
    <row r="136" spans="1:5" ht="22.5" customHeight="1">
      <c r="A136" s="53"/>
      <c r="B136" s="56">
        <f>+E136</f>
        <v>42408.95</v>
      </c>
      <c r="C136" s="53" t="s">
        <v>11</v>
      </c>
      <c r="D136" s="45"/>
      <c r="E136" s="56">
        <v>42408.95</v>
      </c>
    </row>
    <row r="137" spans="2:5" ht="5.25" customHeight="1">
      <c r="B137" s="60">
        <f>SUM(B128:B136)</f>
        <v>11605551.43</v>
      </c>
      <c r="D137" s="45"/>
      <c r="E137" s="60">
        <f>SUM(E128:E136)</f>
        <v>1346708.72</v>
      </c>
    </row>
    <row r="138" spans="2:5" ht="26.25" customHeight="1">
      <c r="B138" s="60">
        <f>+B137+B127</f>
        <v>21807963.06</v>
      </c>
      <c r="C138" s="44" t="s">
        <v>125</v>
      </c>
      <c r="D138" s="45"/>
      <c r="E138" s="60">
        <f>+E137+E127</f>
        <v>6349183.02</v>
      </c>
    </row>
    <row r="139" spans="2:5" ht="26.25" customHeight="1">
      <c r="B139" s="56"/>
      <c r="C139" s="32" t="s">
        <v>126</v>
      </c>
      <c r="D139" s="45"/>
      <c r="E139" s="56"/>
    </row>
    <row r="140" spans="2:5" ht="18" customHeight="1">
      <c r="B140" s="56">
        <f>+B103-B138</f>
        <v>-2581217.2699999996</v>
      </c>
      <c r="C140" s="44" t="s">
        <v>127</v>
      </c>
      <c r="D140" s="45"/>
      <c r="E140" s="56">
        <f>+E103-E138</f>
        <v>-2851901.2299999995</v>
      </c>
    </row>
    <row r="141" spans="2:5" ht="21.75" customHeight="1">
      <c r="B141" s="56"/>
      <c r="C141" s="32" t="s">
        <v>128</v>
      </c>
      <c r="D141" s="45"/>
      <c r="E141" s="56"/>
    </row>
    <row r="142" spans="2:5" ht="19.5" customHeight="1">
      <c r="B142" s="222">
        <f>+B81+B140</f>
        <v>7749379.030000001</v>
      </c>
      <c r="C142" s="44" t="s">
        <v>129</v>
      </c>
      <c r="D142" s="46"/>
      <c r="E142" s="222">
        <f>+E81+E140</f>
        <v>7749379.03</v>
      </c>
    </row>
    <row r="143" spans="2:5" ht="21.75">
      <c r="B143" s="177"/>
      <c r="C143" s="44"/>
      <c r="D143" s="178"/>
      <c r="E143" s="177">
        <f>+B142-E142</f>
        <v>0</v>
      </c>
    </row>
    <row r="144" ht="19.5" customHeight="1">
      <c r="A144" t="s">
        <v>237</v>
      </c>
    </row>
    <row r="145" spans="1:4" ht="24" customHeight="1">
      <c r="A145" t="s">
        <v>144</v>
      </c>
      <c r="C145" t="s">
        <v>239</v>
      </c>
      <c r="D145" t="s">
        <v>233</v>
      </c>
    </row>
    <row r="146" ht="23.25" customHeight="1"/>
    <row r="147" ht="23.25" customHeight="1"/>
    <row r="148" spans="1:5" ht="23.25" customHeight="1">
      <c r="A148" s="47" t="s">
        <v>102</v>
      </c>
      <c r="D148" s="427" t="s">
        <v>195</v>
      </c>
      <c r="E148" s="427"/>
    </row>
    <row r="149" ht="21.75">
      <c r="A149" s="47" t="s">
        <v>103</v>
      </c>
    </row>
    <row r="150" spans="1:5" ht="20.25" customHeight="1">
      <c r="A150" s="456" t="s">
        <v>104</v>
      </c>
      <c r="B150" s="456"/>
      <c r="C150" s="456"/>
      <c r="D150" s="456"/>
      <c r="E150" s="456"/>
    </row>
    <row r="151" spans="1:5" ht="20.25" customHeight="1">
      <c r="A151" s="428" t="s">
        <v>310</v>
      </c>
      <c r="B151" s="428"/>
      <c r="C151" s="428"/>
      <c r="D151" s="428"/>
      <c r="E151" s="428"/>
    </row>
    <row r="152" spans="1:5" ht="20.25" customHeight="1">
      <c r="A152" s="425" t="s">
        <v>105</v>
      </c>
      <c r="B152" s="426"/>
      <c r="C152" s="48"/>
      <c r="D152" s="48"/>
      <c r="E152" s="49" t="s">
        <v>111</v>
      </c>
    </row>
    <row r="153" spans="1:5" ht="21.75">
      <c r="A153" s="48" t="s">
        <v>106</v>
      </c>
      <c r="B153" s="48" t="s">
        <v>108</v>
      </c>
      <c r="C153" s="50" t="s">
        <v>2</v>
      </c>
      <c r="D153" s="50" t="s">
        <v>109</v>
      </c>
      <c r="E153" s="48" t="s">
        <v>108</v>
      </c>
    </row>
    <row r="154" spans="1:5" ht="22.5" thickBot="1">
      <c r="A154" s="51" t="s">
        <v>107</v>
      </c>
      <c r="B154" s="51" t="s">
        <v>107</v>
      </c>
      <c r="C154" s="51"/>
      <c r="D154" s="51" t="s">
        <v>110</v>
      </c>
      <c r="E154" s="51" t="s">
        <v>107</v>
      </c>
    </row>
    <row r="155" spans="1:5" ht="22.5" thickTop="1">
      <c r="A155" s="223"/>
      <c r="B155" s="224">
        <f>10373005.25-42408.95</f>
        <v>10330596.3</v>
      </c>
      <c r="C155" s="225" t="s">
        <v>52</v>
      </c>
      <c r="D155" s="226"/>
      <c r="E155" s="227">
        <v>11130283.06</v>
      </c>
    </row>
    <row r="156" spans="1:5" ht="21.75">
      <c r="A156" s="55"/>
      <c r="B156" s="55"/>
      <c r="C156" s="59" t="s">
        <v>119</v>
      </c>
      <c r="D156" s="45"/>
      <c r="E156" s="56"/>
    </row>
    <row r="157" spans="1:5" ht="21.75">
      <c r="A157" s="56">
        <f>40000+25000+2000</f>
        <v>67000</v>
      </c>
      <c r="B157" s="56">
        <f>103175.15+E157</f>
        <v>105461.84</v>
      </c>
      <c r="C157" t="s">
        <v>112</v>
      </c>
      <c r="D157" s="63" t="s">
        <v>130</v>
      </c>
      <c r="E157" s="82">
        <f>1756.69+530</f>
        <v>2286.69</v>
      </c>
    </row>
    <row r="158" spans="1:5" ht="21.75">
      <c r="A158" s="56">
        <f>2000+95000</f>
        <v>97000</v>
      </c>
      <c r="B158" s="56">
        <f>45416.8+E158</f>
        <v>46116.8</v>
      </c>
      <c r="C158" t="s">
        <v>113</v>
      </c>
      <c r="D158" s="63" t="s">
        <v>131</v>
      </c>
      <c r="E158" s="56">
        <v>700</v>
      </c>
    </row>
    <row r="159" spans="1:5" ht="21.75">
      <c r="A159" s="56">
        <f>3000+5000</f>
        <v>8000</v>
      </c>
      <c r="B159" s="56">
        <v>0</v>
      </c>
      <c r="C159" t="s">
        <v>114</v>
      </c>
      <c r="D159" s="63" t="s">
        <v>132</v>
      </c>
      <c r="E159" s="56">
        <v>0</v>
      </c>
    </row>
    <row r="160" spans="1:5" ht="21.75">
      <c r="A160" s="56"/>
      <c r="B160" s="56">
        <f>800+E160</f>
        <v>800</v>
      </c>
      <c r="C160" t="s">
        <v>115</v>
      </c>
      <c r="D160" s="63" t="s">
        <v>133</v>
      </c>
      <c r="E160" s="56"/>
    </row>
    <row r="161" spans="1:5" ht="21.75">
      <c r="A161" s="56">
        <v>70000</v>
      </c>
      <c r="B161" s="56">
        <f>117117.15+E161</f>
        <v>145117.15</v>
      </c>
      <c r="C161" t="s">
        <v>48</v>
      </c>
      <c r="D161" s="63" t="s">
        <v>134</v>
      </c>
      <c r="E161" s="56">
        <v>28000</v>
      </c>
    </row>
    <row r="162" spans="1:5" ht="21.75">
      <c r="A162" s="56">
        <f>590000+982800+350000+4746090+5000+15000+25000</f>
        <v>6713890</v>
      </c>
      <c r="B162" s="56">
        <f>5777401.87+E162</f>
        <v>6723065.36</v>
      </c>
      <c r="C162" t="s">
        <v>116</v>
      </c>
      <c r="D162" s="63" t="s">
        <v>135</v>
      </c>
      <c r="E162" s="82">
        <f>697674.12+89488.62+6704.1+41249.53+103837.12+6710</f>
        <v>945663.49</v>
      </c>
    </row>
    <row r="163" spans="1:5" ht="21.75">
      <c r="A163" s="56">
        <v>4124000</v>
      </c>
      <c r="B163" s="56">
        <v>3917165</v>
      </c>
      <c r="C163" t="s">
        <v>19</v>
      </c>
      <c r="D163" s="63" t="s">
        <v>136</v>
      </c>
      <c r="E163" s="82">
        <v>0</v>
      </c>
    </row>
    <row r="164" spans="1:5" ht="22.5" thickBot="1">
      <c r="A164" s="57">
        <f>SUM(A157:A163)</f>
        <v>11079890</v>
      </c>
      <c r="B164" s="57">
        <f>SUM(B157:B163)</f>
        <v>10937726.15</v>
      </c>
      <c r="C164" s="53"/>
      <c r="D164" s="45"/>
      <c r="E164" s="61">
        <f>SUM(E157:E163)</f>
        <v>976650.1799999999</v>
      </c>
    </row>
    <row r="165" spans="2:5" ht="22.5" thickTop="1">
      <c r="B165" s="58">
        <v>0</v>
      </c>
      <c r="C165" t="s">
        <v>28</v>
      </c>
      <c r="D165" s="45"/>
      <c r="E165" s="56"/>
    </row>
    <row r="166" spans="1:5" ht="21.75">
      <c r="A166" s="53"/>
      <c r="B166" s="56">
        <v>17500</v>
      </c>
      <c r="C166" t="s">
        <v>30</v>
      </c>
      <c r="D166" s="45">
        <v>700</v>
      </c>
      <c r="E166" s="56">
        <v>0</v>
      </c>
    </row>
    <row r="167" spans="2:5" ht="21.75">
      <c r="B167" s="56">
        <v>3453881</v>
      </c>
      <c r="C167" s="109" t="s">
        <v>124</v>
      </c>
      <c r="D167" s="110" t="s">
        <v>137</v>
      </c>
      <c r="E167" s="111">
        <f>+'[1]5'!L98</f>
        <v>0</v>
      </c>
    </row>
    <row r="168" spans="2:5" ht="21.75">
      <c r="B168" s="56">
        <v>0</v>
      </c>
      <c r="C168" t="s">
        <v>123</v>
      </c>
      <c r="D168" s="45">
        <v>600</v>
      </c>
      <c r="E168" s="56">
        <f>+'[1]3'!F182</f>
        <v>0</v>
      </c>
    </row>
    <row r="169" spans="2:5" ht="21.75">
      <c r="B169" s="56">
        <v>0</v>
      </c>
      <c r="C169" t="s">
        <v>117</v>
      </c>
      <c r="D169" s="45">
        <v>602</v>
      </c>
      <c r="E169" s="56">
        <v>0</v>
      </c>
    </row>
    <row r="170" spans="2:5" ht="21.75">
      <c r="B170" s="56">
        <f>464223.04+E170</f>
        <v>464223.04</v>
      </c>
      <c r="C170" s="109" t="s">
        <v>118</v>
      </c>
      <c r="D170" s="112">
        <v>900</v>
      </c>
      <c r="E170" s="111">
        <f>+'[1]2'!C87</f>
        <v>0</v>
      </c>
    </row>
    <row r="171" spans="2:5" ht="21.75">
      <c r="B171" s="56">
        <v>550144</v>
      </c>
      <c r="C171" t="s">
        <v>101</v>
      </c>
      <c r="D171" s="45">
        <v>704</v>
      </c>
      <c r="E171" s="56">
        <v>0</v>
      </c>
    </row>
    <row r="172" spans="2:5" ht="21.75">
      <c r="B172" s="56">
        <f>279420+E172</f>
        <v>282100</v>
      </c>
      <c r="C172" t="s">
        <v>139</v>
      </c>
      <c r="D172" s="63" t="s">
        <v>138</v>
      </c>
      <c r="E172" s="82">
        <v>2680</v>
      </c>
    </row>
    <row r="173" spans="2:5" ht="21.75">
      <c r="B173" s="56"/>
      <c r="D173" s="45"/>
      <c r="E173" s="56"/>
    </row>
    <row r="174" spans="2:5" ht="21.75">
      <c r="B174" s="56"/>
      <c r="C174" s="53"/>
      <c r="D174" s="45"/>
      <c r="E174" s="56"/>
    </row>
    <row r="175" spans="2:5" ht="21.75">
      <c r="B175" s="56"/>
      <c r="C175" s="53">
        <v>0</v>
      </c>
      <c r="D175" s="45"/>
      <c r="E175" s="56"/>
    </row>
    <row r="176" spans="1:5" s="200" customFormat="1" ht="21.75">
      <c r="A176"/>
      <c r="B176" s="56">
        <f>SUM(B165:B175)</f>
        <v>4767848.04</v>
      </c>
      <c r="C176"/>
      <c r="D176" s="45"/>
      <c r="E176" s="56">
        <f>SUM(E165:E175)</f>
        <v>2680</v>
      </c>
    </row>
    <row r="177" spans="2:5" ht="21.75">
      <c r="B177" s="60">
        <f>+B176+B164</f>
        <v>15705574.190000001</v>
      </c>
      <c r="D177" s="46"/>
      <c r="E177" s="60">
        <f>+E176+E164</f>
        <v>979330.1799999999</v>
      </c>
    </row>
    <row r="178" ht="21.75">
      <c r="D178" s="44"/>
    </row>
    <row r="179" ht="21.75">
      <c r="D179" s="44"/>
    </row>
    <row r="180" ht="21.75">
      <c r="D180" s="44"/>
    </row>
    <row r="181" ht="21.75">
      <c r="D181" s="44"/>
    </row>
    <row r="182" ht="21.75">
      <c r="D182" s="44"/>
    </row>
    <row r="183" ht="21.75">
      <c r="D183" s="44"/>
    </row>
    <row r="184" spans="1:5" ht="21.75">
      <c r="A184" s="424">
        <v>2</v>
      </c>
      <c r="B184" s="424"/>
      <c r="C184" s="424"/>
      <c r="D184" s="424"/>
      <c r="E184" s="424"/>
    </row>
    <row r="185" spans="1:5" ht="21.75">
      <c r="A185" s="425" t="s">
        <v>105</v>
      </c>
      <c r="B185" s="426"/>
      <c r="C185" s="48"/>
      <c r="D185" s="48"/>
      <c r="E185" s="49" t="s">
        <v>111</v>
      </c>
    </row>
    <row r="186" spans="1:5" ht="18.75" customHeight="1">
      <c r="A186" s="48" t="s">
        <v>106</v>
      </c>
      <c r="B186" s="48" t="s">
        <v>108</v>
      </c>
      <c r="C186" s="50" t="s">
        <v>2</v>
      </c>
      <c r="D186" s="50" t="s">
        <v>109</v>
      </c>
      <c r="E186" s="48" t="s">
        <v>108</v>
      </c>
    </row>
    <row r="187" spans="1:5" ht="18.75" customHeight="1" thickBot="1">
      <c r="A187" s="51" t="s">
        <v>107</v>
      </c>
      <c r="B187" s="51" t="s">
        <v>107</v>
      </c>
      <c r="C187" s="51"/>
      <c r="D187" s="51" t="s">
        <v>110</v>
      </c>
      <c r="E187" s="51" t="s">
        <v>107</v>
      </c>
    </row>
    <row r="188" spans="1:5" ht="22.5" thickTop="1">
      <c r="A188" s="55"/>
      <c r="B188" s="55"/>
      <c r="C188" s="59" t="s">
        <v>120</v>
      </c>
      <c r="D188" s="45"/>
      <c r="E188" s="56"/>
    </row>
    <row r="189" spans="1:5" ht="21.75">
      <c r="A189" s="56">
        <v>400000</v>
      </c>
      <c r="B189" s="201">
        <f>664651+E189</f>
        <v>680665.84</v>
      </c>
      <c r="C189" t="s">
        <v>22</v>
      </c>
      <c r="D189" s="65" t="s">
        <v>141</v>
      </c>
      <c r="E189" s="56">
        <v>16014.84</v>
      </c>
    </row>
    <row r="190" spans="1:5" ht="18.75" customHeight="1">
      <c r="A190" s="56">
        <v>1495307</v>
      </c>
      <c r="B190" s="56">
        <f>1219791.35+E190</f>
        <v>1341841.35</v>
      </c>
      <c r="C190" t="s">
        <v>12</v>
      </c>
      <c r="D190" s="45">
        <v>100</v>
      </c>
      <c r="E190" s="56">
        <v>122050</v>
      </c>
    </row>
    <row r="191" spans="1:5" ht="21.75">
      <c r="A191" s="56">
        <v>169890</v>
      </c>
      <c r="B191" s="56">
        <f>165270+E191</f>
        <v>185860</v>
      </c>
      <c r="C191" t="s">
        <v>13</v>
      </c>
      <c r="D191" s="45">
        <v>120</v>
      </c>
      <c r="E191" s="56">
        <v>20590</v>
      </c>
    </row>
    <row r="192" spans="1:5" ht="21.75">
      <c r="A192" s="56">
        <v>114240</v>
      </c>
      <c r="B192" s="56">
        <f>34160+E192</f>
        <v>34160</v>
      </c>
      <c r="C192" t="s">
        <v>14</v>
      </c>
      <c r="D192" s="45">
        <v>130</v>
      </c>
      <c r="E192" s="56">
        <v>0</v>
      </c>
    </row>
    <row r="193" spans="1:5" ht="21.75">
      <c r="A193" s="56">
        <v>1188030</v>
      </c>
      <c r="B193" s="217">
        <f>887879.5+E193</f>
        <v>978103.5</v>
      </c>
      <c r="C193" t="s">
        <v>15</v>
      </c>
      <c r="D193" s="45">
        <v>200</v>
      </c>
      <c r="E193" s="56">
        <f>98624-8400</f>
        <v>90224</v>
      </c>
    </row>
    <row r="194" spans="1:5" ht="21.75">
      <c r="A194" s="56">
        <v>1546708</v>
      </c>
      <c r="B194" s="201">
        <f>416425.38+E194</f>
        <v>515918.38</v>
      </c>
      <c r="C194" t="s">
        <v>16</v>
      </c>
      <c r="D194" s="45">
        <v>250</v>
      </c>
      <c r="E194" s="56">
        <f>88413+8400+2680</f>
        <v>99493</v>
      </c>
    </row>
    <row r="195" spans="1:5" ht="21.75">
      <c r="A195" s="56">
        <v>234069</v>
      </c>
      <c r="B195" s="56">
        <f>127631.4+E195</f>
        <v>167525.4</v>
      </c>
      <c r="C195" t="s">
        <v>17</v>
      </c>
      <c r="D195" s="45">
        <v>270</v>
      </c>
      <c r="E195" s="56">
        <v>39894</v>
      </c>
    </row>
    <row r="196" spans="1:5" ht="21.75">
      <c r="A196" s="56">
        <v>68806</v>
      </c>
      <c r="B196" s="56">
        <f>46465.73+E196</f>
        <v>59512.270000000004</v>
      </c>
      <c r="C196" t="s">
        <v>18</v>
      </c>
      <c r="D196" s="45">
        <v>300</v>
      </c>
      <c r="E196" s="56">
        <v>13046.54</v>
      </c>
    </row>
    <row r="197" spans="1:5" ht="21.75">
      <c r="A197" s="56">
        <v>675040</v>
      </c>
      <c r="B197" s="56">
        <v>227264</v>
      </c>
      <c r="C197" t="s">
        <v>19</v>
      </c>
      <c r="D197" s="45">
        <v>400</v>
      </c>
      <c r="E197" s="56">
        <v>0</v>
      </c>
    </row>
    <row r="198" spans="1:5" ht="21.75">
      <c r="A198" s="56">
        <v>463800</v>
      </c>
      <c r="B198" s="56">
        <v>109331.59</v>
      </c>
      <c r="C198" t="s">
        <v>20</v>
      </c>
      <c r="D198" s="45">
        <v>450</v>
      </c>
      <c r="E198" s="56">
        <v>0</v>
      </c>
    </row>
    <row r="199" spans="1:5" ht="21.75">
      <c r="A199" s="56">
        <f>2029000+4124000</f>
        <v>6153000</v>
      </c>
      <c r="B199" s="56">
        <f>721755+E199</f>
        <v>801755</v>
      </c>
      <c r="C199" t="s">
        <v>21</v>
      </c>
      <c r="D199" s="45">
        <v>500</v>
      </c>
      <c r="E199" s="56">
        <v>80000</v>
      </c>
    </row>
    <row r="200" spans="1:5" ht="21.75">
      <c r="A200" s="56"/>
      <c r="B200" s="56">
        <f>87000+E200</f>
        <v>98000</v>
      </c>
      <c r="C200" t="s">
        <v>121</v>
      </c>
      <c r="D200" s="45">
        <v>550</v>
      </c>
      <c r="E200" s="56">
        <v>11000</v>
      </c>
    </row>
    <row r="201" spans="1:5" ht="30" thickBot="1">
      <c r="A201" s="57">
        <f>SUM(A189:A199)</f>
        <v>12508890</v>
      </c>
      <c r="B201" s="57">
        <f>SUM(B189:B200)</f>
        <v>5199937.33</v>
      </c>
      <c r="C201" s="176"/>
      <c r="D201" s="45"/>
      <c r="E201" s="57">
        <f>SUM(E189:E200)</f>
        <v>492312.37999999995</v>
      </c>
    </row>
    <row r="202" spans="2:5" ht="22.5" thickTop="1">
      <c r="B202" s="58">
        <v>1504000</v>
      </c>
      <c r="C202" t="s">
        <v>28</v>
      </c>
      <c r="D202" s="45"/>
      <c r="E202" s="56">
        <v>0</v>
      </c>
    </row>
    <row r="203" spans="1:5" ht="21.75">
      <c r="A203" s="183"/>
      <c r="B203" s="184">
        <f>1049442.6+E203</f>
        <v>1940342.6</v>
      </c>
      <c r="C203" s="185" t="s">
        <v>30</v>
      </c>
      <c r="D203" s="186">
        <v>700</v>
      </c>
      <c r="E203" s="184">
        <f>376000+88400+221000+205500</f>
        <v>890900</v>
      </c>
    </row>
    <row r="204" spans="1:5" s="200" customFormat="1" ht="21.75">
      <c r="A204"/>
      <c r="B204" s="82">
        <f>2973458.72+E204</f>
        <v>2973458.72</v>
      </c>
      <c r="C204" s="109" t="s">
        <v>124</v>
      </c>
      <c r="D204" s="112">
        <v>3002</v>
      </c>
      <c r="E204" s="111">
        <f>+'[1]5'!L126</f>
        <v>0</v>
      </c>
    </row>
    <row r="205" spans="2:5" ht="21.75">
      <c r="B205" s="182">
        <v>1919400.64</v>
      </c>
      <c r="C205" t="s">
        <v>122</v>
      </c>
      <c r="D205" s="45">
        <v>600</v>
      </c>
      <c r="E205" s="56">
        <f>+'[1]3'!E182</f>
        <v>0</v>
      </c>
    </row>
    <row r="206" spans="2:5" ht="21.75">
      <c r="B206" s="182">
        <v>336347.9</v>
      </c>
      <c r="C206" t="s">
        <v>117</v>
      </c>
      <c r="D206" s="45">
        <v>602</v>
      </c>
      <c r="E206" s="56">
        <f>+'[1]4'!E96</f>
        <v>0</v>
      </c>
    </row>
    <row r="207" spans="2:5" ht="21.75">
      <c r="B207" s="56">
        <f>642398.44+E207</f>
        <v>642398.44</v>
      </c>
      <c r="C207" s="109" t="s">
        <v>118</v>
      </c>
      <c r="D207" s="112">
        <v>900</v>
      </c>
      <c r="E207" s="111">
        <f>+'[1]2'!D87</f>
        <v>0</v>
      </c>
    </row>
    <row r="208" spans="1:5" s="200" customFormat="1" ht="21.75">
      <c r="A208" s="185"/>
      <c r="B208" s="184">
        <v>550144</v>
      </c>
      <c r="C208" s="185" t="s">
        <v>101</v>
      </c>
      <c r="D208" s="186">
        <v>704</v>
      </c>
      <c r="E208" s="184">
        <v>0</v>
      </c>
    </row>
    <row r="209" spans="2:5" ht="21.75">
      <c r="B209" s="56">
        <f>243740+E209</f>
        <v>300460</v>
      </c>
      <c r="C209" t="s">
        <v>140</v>
      </c>
      <c r="D209" s="63" t="s">
        <v>138</v>
      </c>
      <c r="E209" s="56">
        <f>50500+6220</f>
        <v>56720</v>
      </c>
    </row>
    <row r="210" spans="1:5" ht="21.75">
      <c r="A210" s="53"/>
      <c r="B210" s="56"/>
      <c r="C210" s="53"/>
      <c r="D210" s="45"/>
      <c r="E210" s="56"/>
    </row>
    <row r="211" spans="2:5" ht="21.75">
      <c r="B211" s="60">
        <f>SUM(B202:B210)</f>
        <v>10166552.299999999</v>
      </c>
      <c r="D211" s="45"/>
      <c r="E211" s="60">
        <f>SUM(E202:E210)</f>
        <v>947620</v>
      </c>
    </row>
    <row r="212" spans="2:5" ht="21.75">
      <c r="B212" s="60">
        <f>+B211+B201</f>
        <v>15366489.629999999</v>
      </c>
      <c r="C212" s="44" t="s">
        <v>125</v>
      </c>
      <c r="D212" s="45"/>
      <c r="E212" s="60">
        <f>+E211+E201</f>
        <v>1439932.38</v>
      </c>
    </row>
    <row r="213" spans="2:5" ht="21.75">
      <c r="B213" s="56"/>
      <c r="C213" s="32" t="s">
        <v>126</v>
      </c>
      <c r="D213" s="45"/>
      <c r="E213" s="56"/>
    </row>
    <row r="214" spans="2:5" ht="21.75">
      <c r="B214" s="56">
        <f>+B177-B212</f>
        <v>339084.5600000024</v>
      </c>
      <c r="C214" s="44" t="s">
        <v>127</v>
      </c>
      <c r="D214" s="45"/>
      <c r="E214" s="56">
        <f>+E177-E212</f>
        <v>-460602.19999999995</v>
      </c>
    </row>
    <row r="215" spans="2:5" ht="18" customHeight="1">
      <c r="B215" s="56"/>
      <c r="C215" s="32" t="s">
        <v>128</v>
      </c>
      <c r="D215" s="45"/>
      <c r="E215" s="56"/>
    </row>
    <row r="216" spans="2:5" ht="21.75">
      <c r="B216" s="222">
        <f>+B155+B214</f>
        <v>10669680.860000003</v>
      </c>
      <c r="C216" s="44" t="s">
        <v>129</v>
      </c>
      <c r="D216" s="46"/>
      <c r="E216" s="222">
        <f>+E155+E214</f>
        <v>10669680.860000001</v>
      </c>
    </row>
    <row r="217" spans="2:6" ht="18" customHeight="1">
      <c r="B217" s="177"/>
      <c r="C217" s="44"/>
      <c r="D217" s="178"/>
      <c r="E217" s="177">
        <f>+B216-E216</f>
        <v>0</v>
      </c>
      <c r="F217" s="53"/>
    </row>
    <row r="218" ht="16.5" customHeight="1">
      <c r="A218" t="s">
        <v>237</v>
      </c>
    </row>
    <row r="219" spans="1:4" ht="19.5" customHeight="1">
      <c r="A219" t="s">
        <v>144</v>
      </c>
      <c r="C219" t="s">
        <v>239</v>
      </c>
      <c r="D219" t="s">
        <v>233</v>
      </c>
    </row>
    <row r="220" ht="24" customHeight="1"/>
    <row r="221" ht="23.25" customHeight="1"/>
    <row r="222" spans="1:5" ht="21.75">
      <c r="A222" s="47" t="s">
        <v>102</v>
      </c>
      <c r="D222" s="427" t="s">
        <v>195</v>
      </c>
      <c r="E222" s="427"/>
    </row>
    <row r="223" ht="21.75">
      <c r="A223" s="47" t="s">
        <v>103</v>
      </c>
    </row>
    <row r="224" spans="1:5" ht="23.25">
      <c r="A224" s="456" t="s">
        <v>104</v>
      </c>
      <c r="B224" s="456"/>
      <c r="C224" s="456"/>
      <c r="D224" s="456"/>
      <c r="E224" s="456"/>
    </row>
    <row r="225" spans="1:5" ht="21.75">
      <c r="A225" s="428" t="s">
        <v>257</v>
      </c>
      <c r="B225" s="428"/>
      <c r="C225" s="428"/>
      <c r="D225" s="428"/>
      <c r="E225" s="428"/>
    </row>
    <row r="226" spans="1:5" ht="21.75">
      <c r="A226" s="425" t="s">
        <v>105</v>
      </c>
      <c r="B226" s="426"/>
      <c r="C226" s="48"/>
      <c r="D226" s="48"/>
      <c r="E226" s="49" t="s">
        <v>111</v>
      </c>
    </row>
    <row r="227" spans="1:5" ht="21.75">
      <c r="A227" s="48" t="s">
        <v>106</v>
      </c>
      <c r="B227" s="48" t="s">
        <v>108</v>
      </c>
      <c r="C227" s="50" t="s">
        <v>2</v>
      </c>
      <c r="D227" s="50" t="s">
        <v>109</v>
      </c>
      <c r="E227" s="48" t="s">
        <v>108</v>
      </c>
    </row>
    <row r="228" spans="1:5" ht="22.5" thickBot="1">
      <c r="A228" s="51" t="s">
        <v>107</v>
      </c>
      <c r="B228" s="51" t="s">
        <v>107</v>
      </c>
      <c r="C228" s="51"/>
      <c r="D228" s="51" t="s">
        <v>110</v>
      </c>
      <c r="E228" s="51" t="s">
        <v>107</v>
      </c>
    </row>
    <row r="229" spans="1:5" ht="22.5" thickTop="1">
      <c r="A229" s="223"/>
      <c r="B229" s="224">
        <f>10373005.25-42408.95</f>
        <v>10330596.3</v>
      </c>
      <c r="C229" s="225" t="s">
        <v>52</v>
      </c>
      <c r="D229" s="226"/>
      <c r="E229" s="227">
        <v>11130283.06</v>
      </c>
    </row>
    <row r="230" spans="1:5" ht="21.75">
      <c r="A230" s="55"/>
      <c r="B230" s="55"/>
      <c r="C230" s="59" t="s">
        <v>119</v>
      </c>
      <c r="D230" s="45"/>
      <c r="E230" s="56"/>
    </row>
    <row r="231" spans="1:5" ht="21.75">
      <c r="A231" s="56">
        <f>40000+25000+2000</f>
        <v>67000</v>
      </c>
      <c r="B231" s="56">
        <f>103175.15+E231</f>
        <v>105461.84</v>
      </c>
      <c r="C231" t="s">
        <v>112</v>
      </c>
      <c r="D231" s="63" t="s">
        <v>130</v>
      </c>
      <c r="E231" s="82">
        <f>1756.69+530</f>
        <v>2286.69</v>
      </c>
    </row>
    <row r="232" spans="1:5" ht="21.75">
      <c r="A232" s="56">
        <f>2000+95000</f>
        <v>97000</v>
      </c>
      <c r="B232" s="56">
        <f>45416.8+E232</f>
        <v>46116.8</v>
      </c>
      <c r="C232" t="s">
        <v>113</v>
      </c>
      <c r="D232" s="63" t="s">
        <v>131</v>
      </c>
      <c r="E232" s="56">
        <v>700</v>
      </c>
    </row>
    <row r="233" spans="1:5" ht="21.75">
      <c r="A233" s="56">
        <f>3000+5000</f>
        <v>8000</v>
      </c>
      <c r="B233" s="56">
        <v>0</v>
      </c>
      <c r="C233" t="s">
        <v>114</v>
      </c>
      <c r="D233" s="63" t="s">
        <v>132</v>
      </c>
      <c r="E233" s="56">
        <v>0</v>
      </c>
    </row>
    <row r="234" spans="1:5" ht="21.75">
      <c r="A234" s="56"/>
      <c r="B234" s="56">
        <f>800+E234</f>
        <v>800</v>
      </c>
      <c r="C234" t="s">
        <v>115</v>
      </c>
      <c r="D234" s="63" t="s">
        <v>133</v>
      </c>
      <c r="E234" s="56"/>
    </row>
    <row r="235" spans="1:5" ht="21.75">
      <c r="A235" s="56">
        <v>70000</v>
      </c>
      <c r="B235" s="56">
        <f>117117.15+E235</f>
        <v>145117.15</v>
      </c>
      <c r="C235" t="s">
        <v>48</v>
      </c>
      <c r="D235" s="63" t="s">
        <v>134</v>
      </c>
      <c r="E235" s="56">
        <v>28000</v>
      </c>
    </row>
    <row r="236" spans="1:5" ht="21.75">
      <c r="A236" s="56">
        <f>590000+982800+350000+4746090+5000+15000+25000</f>
        <v>6713890</v>
      </c>
      <c r="B236" s="56">
        <f>5777401.87+E236</f>
        <v>6723065.36</v>
      </c>
      <c r="C236" t="s">
        <v>116</v>
      </c>
      <c r="D236" s="63" t="s">
        <v>135</v>
      </c>
      <c r="E236" s="82">
        <f>697674.12+89488.62+6704.1+41249.53+103837.12+6710</f>
        <v>945663.49</v>
      </c>
    </row>
    <row r="237" spans="1:5" ht="21.75">
      <c r="A237" s="56">
        <v>4124000</v>
      </c>
      <c r="B237" s="56">
        <v>3917165</v>
      </c>
      <c r="C237" t="s">
        <v>19</v>
      </c>
      <c r="D237" s="63" t="s">
        <v>136</v>
      </c>
      <c r="E237" s="82">
        <v>0</v>
      </c>
    </row>
    <row r="238" spans="1:5" ht="22.5" thickBot="1">
      <c r="A238" s="57">
        <f>SUM(A231:A237)</f>
        <v>11079890</v>
      </c>
      <c r="B238" s="57">
        <f>SUM(B231:B237)</f>
        <v>10937726.15</v>
      </c>
      <c r="C238" s="53"/>
      <c r="D238" s="45"/>
      <c r="E238" s="61">
        <f>SUM(E231:E237)</f>
        <v>976650.1799999999</v>
      </c>
    </row>
    <row r="239" spans="2:5" ht="22.5" thickTop="1">
      <c r="B239" s="58">
        <v>0</v>
      </c>
      <c r="C239" t="s">
        <v>28</v>
      </c>
      <c r="D239" s="45"/>
      <c r="E239" s="56"/>
    </row>
    <row r="240" spans="1:5" ht="21.75">
      <c r="A240" s="53"/>
      <c r="B240" s="56">
        <v>17500</v>
      </c>
      <c r="C240" t="s">
        <v>30</v>
      </c>
      <c r="D240" s="45">
        <v>700</v>
      </c>
      <c r="E240" s="56">
        <v>0</v>
      </c>
    </row>
    <row r="241" spans="2:5" ht="21.75">
      <c r="B241" s="56">
        <v>3453881</v>
      </c>
      <c r="C241" s="109" t="s">
        <v>124</v>
      </c>
      <c r="D241" s="110" t="s">
        <v>137</v>
      </c>
      <c r="E241" s="111">
        <f>+5!L24</f>
        <v>0</v>
      </c>
    </row>
    <row r="242" spans="2:5" ht="21.75">
      <c r="B242" s="56">
        <v>0</v>
      </c>
      <c r="C242" t="s">
        <v>123</v>
      </c>
      <c r="D242" s="45">
        <v>600</v>
      </c>
      <c r="E242" s="56">
        <f>+3!F108</f>
        <v>0</v>
      </c>
    </row>
    <row r="243" spans="2:5" ht="21.75">
      <c r="B243" s="56">
        <v>0</v>
      </c>
      <c r="C243" t="s">
        <v>117</v>
      </c>
      <c r="D243" s="45">
        <v>602</v>
      </c>
      <c r="E243" s="56">
        <v>0</v>
      </c>
    </row>
    <row r="244" spans="2:5" ht="21.75">
      <c r="B244" s="56">
        <f>464223.04+E244</f>
        <v>542024.77</v>
      </c>
      <c r="C244" s="109" t="s">
        <v>118</v>
      </c>
      <c r="D244" s="112">
        <v>900</v>
      </c>
      <c r="E244" s="111">
        <f>+2!C13</f>
        <v>77801.73000000001</v>
      </c>
    </row>
    <row r="245" spans="2:5" ht="21.75">
      <c r="B245" s="56">
        <v>550144</v>
      </c>
      <c r="C245" t="s">
        <v>101</v>
      </c>
      <c r="D245" s="45">
        <v>704</v>
      </c>
      <c r="E245" s="56">
        <v>0</v>
      </c>
    </row>
    <row r="246" spans="2:5" ht="21.75">
      <c r="B246" s="56">
        <f>279420+E246</f>
        <v>282100</v>
      </c>
      <c r="C246" t="s">
        <v>139</v>
      </c>
      <c r="D246" s="63" t="s">
        <v>138</v>
      </c>
      <c r="E246" s="82">
        <v>2680</v>
      </c>
    </row>
    <row r="247" spans="2:5" ht="21.75">
      <c r="B247" s="56"/>
      <c r="D247" s="45"/>
      <c r="E247" s="56"/>
    </row>
    <row r="248" spans="2:5" ht="21.75">
      <c r="B248" s="56"/>
      <c r="C248" s="53"/>
      <c r="D248" s="45"/>
      <c r="E248" s="56"/>
    </row>
    <row r="249" spans="2:5" ht="21.75">
      <c r="B249" s="56"/>
      <c r="C249" s="53">
        <v>0</v>
      </c>
      <c r="D249" s="45"/>
      <c r="E249" s="56"/>
    </row>
    <row r="250" spans="2:5" ht="21.75">
      <c r="B250" s="56">
        <f>SUM(B239:B249)</f>
        <v>4845649.77</v>
      </c>
      <c r="D250" s="45"/>
      <c r="E250" s="56">
        <f>SUM(E239:E249)</f>
        <v>80481.73000000001</v>
      </c>
    </row>
    <row r="251" spans="2:5" ht="21.75">
      <c r="B251" s="60">
        <f>+B250+B238</f>
        <v>15783375.92</v>
      </c>
      <c r="D251" s="46"/>
      <c r="E251" s="60">
        <f>+E250+E238</f>
        <v>1057131.91</v>
      </c>
    </row>
    <row r="252" ht="21.75">
      <c r="D252" s="44"/>
    </row>
    <row r="253" ht="21.75">
      <c r="D253" s="44"/>
    </row>
    <row r="254" ht="21.75">
      <c r="D254" s="44"/>
    </row>
    <row r="255" ht="21.75">
      <c r="D255" s="44"/>
    </row>
    <row r="256" ht="21.75">
      <c r="D256" s="44"/>
    </row>
    <row r="257" ht="21.75">
      <c r="D257" s="44"/>
    </row>
    <row r="258" spans="1:5" ht="21.75">
      <c r="A258" s="424">
        <v>2</v>
      </c>
      <c r="B258" s="424"/>
      <c r="C258" s="424"/>
      <c r="D258" s="424"/>
      <c r="E258" s="424"/>
    </row>
    <row r="259" spans="1:5" ht="21.75">
      <c r="A259" s="425" t="s">
        <v>105</v>
      </c>
      <c r="B259" s="426"/>
      <c r="C259" s="48"/>
      <c r="D259" s="48"/>
      <c r="E259" s="49" t="s">
        <v>111</v>
      </c>
    </row>
    <row r="260" spans="1:5" ht="21.75">
      <c r="A260" s="48" t="s">
        <v>106</v>
      </c>
      <c r="B260" s="48" t="s">
        <v>108</v>
      </c>
      <c r="C260" s="50" t="s">
        <v>2</v>
      </c>
      <c r="D260" s="50" t="s">
        <v>109</v>
      </c>
      <c r="E260" s="48" t="s">
        <v>108</v>
      </c>
    </row>
    <row r="261" spans="1:5" ht="22.5" thickBot="1">
      <c r="A261" s="51" t="s">
        <v>107</v>
      </c>
      <c r="B261" s="51" t="s">
        <v>107</v>
      </c>
      <c r="C261" s="51"/>
      <c r="D261" s="51" t="s">
        <v>110</v>
      </c>
      <c r="E261" s="51" t="s">
        <v>107</v>
      </c>
    </row>
    <row r="262" spans="1:5" ht="22.5" thickTop="1">
      <c r="A262" s="55"/>
      <c r="B262" s="55"/>
      <c r="C262" s="59" t="s">
        <v>120</v>
      </c>
      <c r="D262" s="45"/>
      <c r="E262" s="56"/>
    </row>
    <row r="263" spans="1:5" ht="21.75">
      <c r="A263" s="56">
        <v>400000</v>
      </c>
      <c r="B263" s="201">
        <f>664651+E263</f>
        <v>680665.84</v>
      </c>
      <c r="C263" t="s">
        <v>22</v>
      </c>
      <c r="D263" s="65" t="s">
        <v>141</v>
      </c>
      <c r="E263" s="56">
        <v>16014.84</v>
      </c>
    </row>
    <row r="264" spans="1:5" ht="21.75">
      <c r="A264" s="56">
        <v>1495307</v>
      </c>
      <c r="B264" s="56">
        <f>1219791.35+E264</f>
        <v>1341841.35</v>
      </c>
      <c r="C264" t="s">
        <v>12</v>
      </c>
      <c r="D264" s="45">
        <v>100</v>
      </c>
      <c r="E264" s="56">
        <v>122050</v>
      </c>
    </row>
    <row r="265" spans="1:5" ht="21.75">
      <c r="A265" s="56">
        <v>169890</v>
      </c>
      <c r="B265" s="56">
        <f>165270+E265</f>
        <v>185860</v>
      </c>
      <c r="C265" t="s">
        <v>13</v>
      </c>
      <c r="D265" s="45">
        <v>120</v>
      </c>
      <c r="E265" s="56">
        <v>20590</v>
      </c>
    </row>
    <row r="266" spans="1:5" ht="21.75">
      <c r="A266" s="56">
        <v>114240</v>
      </c>
      <c r="B266" s="56">
        <f>34160+E266</f>
        <v>34160</v>
      </c>
      <c r="C266" t="s">
        <v>14</v>
      </c>
      <c r="D266" s="45">
        <v>130</v>
      </c>
      <c r="E266" s="56">
        <v>0</v>
      </c>
    </row>
    <row r="267" spans="1:5" ht="21.75">
      <c r="A267" s="56">
        <v>1188030</v>
      </c>
      <c r="B267" s="217">
        <f>887879.5-8400+E267</f>
        <v>978103.5</v>
      </c>
      <c r="C267" t="s">
        <v>15</v>
      </c>
      <c r="D267" s="45">
        <v>200</v>
      </c>
      <c r="E267" s="56">
        <v>98624</v>
      </c>
    </row>
    <row r="268" spans="1:5" ht="21.75">
      <c r="A268" s="56">
        <v>1546708</v>
      </c>
      <c r="B268" s="201">
        <f>416425.38+8400+E268</f>
        <v>513238.38</v>
      </c>
      <c r="C268" t="s">
        <v>16</v>
      </c>
      <c r="D268" s="45">
        <v>250</v>
      </c>
      <c r="E268" s="56">
        <v>88413</v>
      </c>
    </row>
    <row r="269" spans="1:5" ht="21.75">
      <c r="A269" s="56">
        <v>234069</v>
      </c>
      <c r="B269" s="56">
        <f>127631.4+E269</f>
        <v>169271.63999999998</v>
      </c>
      <c r="C269" t="s">
        <v>17</v>
      </c>
      <c r="D269" s="45">
        <v>270</v>
      </c>
      <c r="E269" s="56">
        <v>41640.24</v>
      </c>
    </row>
    <row r="270" spans="1:5" ht="21.75">
      <c r="A270" s="56">
        <v>68806</v>
      </c>
      <c r="B270" s="56">
        <f>46465.73+E270</f>
        <v>57766.03</v>
      </c>
      <c r="C270" t="s">
        <v>18</v>
      </c>
      <c r="D270" s="45">
        <v>300</v>
      </c>
      <c r="E270" s="56">
        <v>11300.3</v>
      </c>
    </row>
    <row r="271" spans="1:5" ht="21.75">
      <c r="A271" s="56">
        <v>675040</v>
      </c>
      <c r="B271" s="56">
        <v>227264</v>
      </c>
      <c r="C271" t="s">
        <v>19</v>
      </c>
      <c r="D271" s="45">
        <v>400</v>
      </c>
      <c r="E271" s="56">
        <v>0</v>
      </c>
    </row>
    <row r="272" spans="1:5" ht="21.75">
      <c r="A272" s="56">
        <v>463800</v>
      </c>
      <c r="B272" s="56">
        <v>109331.59</v>
      </c>
      <c r="C272" t="s">
        <v>20</v>
      </c>
      <c r="D272" s="45">
        <v>450</v>
      </c>
      <c r="E272" s="56">
        <v>0</v>
      </c>
    </row>
    <row r="273" spans="1:5" ht="21.75">
      <c r="A273" s="56">
        <f>2029000+4124000</f>
        <v>6153000</v>
      </c>
      <c r="B273" s="56">
        <f>721755+E273</f>
        <v>801755</v>
      </c>
      <c r="C273" t="s">
        <v>21</v>
      </c>
      <c r="D273" s="45">
        <v>500</v>
      </c>
      <c r="E273" s="56">
        <v>80000</v>
      </c>
    </row>
    <row r="274" spans="1:5" ht="21.75">
      <c r="A274" s="56"/>
      <c r="B274" s="56">
        <f>87000+E274</f>
        <v>98000</v>
      </c>
      <c r="C274" t="s">
        <v>121</v>
      </c>
      <c r="D274" s="45">
        <v>550</v>
      </c>
      <c r="E274" s="56">
        <v>11000</v>
      </c>
    </row>
    <row r="275" spans="1:5" ht="30" thickBot="1">
      <c r="A275" s="57">
        <f>SUM(A263:A273)</f>
        <v>12508890</v>
      </c>
      <c r="B275" s="57">
        <f>SUM(B263:B274)</f>
        <v>5197257.33</v>
      </c>
      <c r="C275" s="176"/>
      <c r="D275" s="45"/>
      <c r="E275" s="57">
        <f>SUM(E263:E274)</f>
        <v>489632.37999999995</v>
      </c>
    </row>
    <row r="276" spans="2:5" ht="22.5" thickTop="1">
      <c r="B276" s="58">
        <v>1504000</v>
      </c>
      <c r="C276" t="s">
        <v>28</v>
      </c>
      <c r="D276" s="45"/>
      <c r="E276" s="56">
        <v>0</v>
      </c>
    </row>
    <row r="277" spans="1:5" ht="21.75">
      <c r="A277" s="183"/>
      <c r="B277" s="184">
        <f>1049442.6+E277</f>
        <v>1940342.6</v>
      </c>
      <c r="C277" s="185" t="s">
        <v>30</v>
      </c>
      <c r="D277" s="186">
        <v>700</v>
      </c>
      <c r="E277" s="184">
        <f>376000+88400+221000+205500</f>
        <v>890900</v>
      </c>
    </row>
    <row r="278" spans="2:5" ht="21.75">
      <c r="B278" s="82">
        <f>2973458.72+E278</f>
        <v>3045876.72</v>
      </c>
      <c r="C278" s="109" t="s">
        <v>124</v>
      </c>
      <c r="D278" s="112">
        <v>3002</v>
      </c>
      <c r="E278" s="111">
        <f>+5!L52</f>
        <v>72418</v>
      </c>
    </row>
    <row r="279" spans="2:5" ht="21.75">
      <c r="B279" s="182">
        <v>1919400.64</v>
      </c>
      <c r="C279" t="s">
        <v>122</v>
      </c>
      <c r="D279" s="45">
        <v>600</v>
      </c>
      <c r="E279" s="56">
        <f>+3!E108</f>
        <v>0</v>
      </c>
    </row>
    <row r="280" spans="2:5" ht="21.75">
      <c r="B280" s="182">
        <v>336347.9</v>
      </c>
      <c r="C280" t="s">
        <v>117</v>
      </c>
      <c r="D280" s="45">
        <v>602</v>
      </c>
      <c r="E280" s="56">
        <f>+4!E26</f>
        <v>0</v>
      </c>
    </row>
    <row r="281" spans="2:5" ht="21.75">
      <c r="B281" s="56">
        <f>642398.44+E281</f>
        <v>761020.1399999999</v>
      </c>
      <c r="C281" s="109" t="s">
        <v>118</v>
      </c>
      <c r="D281" s="112">
        <v>900</v>
      </c>
      <c r="E281" s="111">
        <f>+2!D13</f>
        <v>118621.7</v>
      </c>
    </row>
    <row r="282" spans="1:5" ht="21.75">
      <c r="A282" s="185"/>
      <c r="B282" s="184">
        <v>550144</v>
      </c>
      <c r="C282" s="185" t="s">
        <v>101</v>
      </c>
      <c r="D282" s="186">
        <v>704</v>
      </c>
      <c r="E282" s="184">
        <v>0</v>
      </c>
    </row>
    <row r="283" spans="2:5" ht="21.75">
      <c r="B283" s="56">
        <f>243740+E283</f>
        <v>300460</v>
      </c>
      <c r="C283" t="s">
        <v>140</v>
      </c>
      <c r="D283" s="63" t="s">
        <v>138</v>
      </c>
      <c r="E283" s="56">
        <f>50500+6220</f>
        <v>56720</v>
      </c>
    </row>
    <row r="284" spans="1:5" ht="21.75">
      <c r="A284" s="53"/>
      <c r="B284" s="56"/>
      <c r="C284" s="53"/>
      <c r="D284" s="45"/>
      <c r="E284" s="56"/>
    </row>
    <row r="285" spans="2:5" ht="21.75">
      <c r="B285" s="60">
        <f>SUM(B276:B284)</f>
        <v>10357592.000000002</v>
      </c>
      <c r="D285" s="45"/>
      <c r="E285" s="60">
        <f>SUM(E276:E284)</f>
        <v>1138659.7</v>
      </c>
    </row>
    <row r="286" spans="2:5" ht="21.75">
      <c r="B286" s="60">
        <f>+B285+B275</f>
        <v>15554849.330000002</v>
      </c>
      <c r="C286" s="44" t="s">
        <v>125</v>
      </c>
      <c r="D286" s="45"/>
      <c r="E286" s="60">
        <f>+E285+E275</f>
        <v>1628292.0799999998</v>
      </c>
    </row>
    <row r="287" spans="2:5" ht="21.75">
      <c r="B287" s="56"/>
      <c r="C287" s="32" t="s">
        <v>126</v>
      </c>
      <c r="D287" s="45"/>
      <c r="E287" s="56"/>
    </row>
    <row r="288" spans="2:5" ht="21.75">
      <c r="B288" s="56">
        <f>+B251-B286</f>
        <v>228526.589999998</v>
      </c>
      <c r="C288" s="44" t="s">
        <v>127</v>
      </c>
      <c r="D288" s="45"/>
      <c r="E288" s="56">
        <f>+E251-E286</f>
        <v>-571160.1699999999</v>
      </c>
    </row>
    <row r="289" spans="2:5" ht="21.75">
      <c r="B289" s="56"/>
      <c r="C289" s="32" t="s">
        <v>128</v>
      </c>
      <c r="D289" s="45"/>
      <c r="E289" s="56"/>
    </row>
    <row r="290" spans="2:5" ht="21.75">
      <c r="B290" s="222">
        <f>+B229+B288</f>
        <v>10559122.889999999</v>
      </c>
      <c r="C290" s="44" t="s">
        <v>129</v>
      </c>
      <c r="D290" s="46"/>
      <c r="E290" s="222">
        <f>+E229+E288</f>
        <v>10559122.89</v>
      </c>
    </row>
    <row r="291" spans="2:5" ht="21.75">
      <c r="B291" s="177"/>
      <c r="C291" s="44"/>
      <c r="D291" s="178"/>
      <c r="E291" s="177">
        <f>+B290-E290</f>
        <v>0</v>
      </c>
    </row>
    <row r="292" ht="21.75">
      <c r="A292" t="s">
        <v>237</v>
      </c>
    </row>
    <row r="293" spans="1:4" ht="21.75">
      <c r="A293" t="s">
        <v>144</v>
      </c>
      <c r="C293" t="s">
        <v>239</v>
      </c>
      <c r="D293" t="s">
        <v>233</v>
      </c>
    </row>
    <row r="295" spans="1:5" ht="21.75">
      <c r="A295" s="47" t="s">
        <v>102</v>
      </c>
      <c r="D295" s="427" t="s">
        <v>195</v>
      </c>
      <c r="E295" s="427"/>
    </row>
    <row r="296" ht="21.75">
      <c r="A296" s="47" t="s">
        <v>103</v>
      </c>
    </row>
    <row r="297" spans="1:5" ht="23.25">
      <c r="A297" s="456" t="s">
        <v>104</v>
      </c>
      <c r="B297" s="456"/>
      <c r="C297" s="456"/>
      <c r="D297" s="456"/>
      <c r="E297" s="456"/>
    </row>
    <row r="298" spans="1:5" ht="21.75">
      <c r="A298" s="428" t="s">
        <v>236</v>
      </c>
      <c r="B298" s="428"/>
      <c r="C298" s="428"/>
      <c r="D298" s="428"/>
      <c r="E298" s="428"/>
    </row>
    <row r="299" spans="1:5" ht="21.75">
      <c r="A299" s="425" t="s">
        <v>105</v>
      </c>
      <c r="B299" s="426"/>
      <c r="C299" s="48"/>
      <c r="D299" s="48"/>
      <c r="E299" s="49" t="s">
        <v>111</v>
      </c>
    </row>
    <row r="300" spans="1:5" ht="21.75">
      <c r="A300" s="48" t="s">
        <v>106</v>
      </c>
      <c r="B300" s="48" t="s">
        <v>108</v>
      </c>
      <c r="C300" s="50" t="s">
        <v>2</v>
      </c>
      <c r="D300" s="50" t="s">
        <v>109</v>
      </c>
      <c r="E300" s="48" t="s">
        <v>108</v>
      </c>
    </row>
    <row r="301" spans="1:5" ht="18" customHeight="1" thickBot="1">
      <c r="A301" s="51" t="s">
        <v>107</v>
      </c>
      <c r="B301" s="51" t="s">
        <v>107</v>
      </c>
      <c r="C301" s="51"/>
      <c r="D301" s="51" t="s">
        <v>110</v>
      </c>
      <c r="E301" s="51" t="s">
        <v>107</v>
      </c>
    </row>
    <row r="302" spans="1:5" ht="22.5" thickTop="1">
      <c r="A302" s="54"/>
      <c r="B302" s="62">
        <f>10373005.25-42408.95</f>
        <v>10330596.3</v>
      </c>
      <c r="C302" s="52" t="s">
        <v>52</v>
      </c>
      <c r="D302" s="45"/>
      <c r="E302" s="181">
        <v>10073085.73</v>
      </c>
    </row>
    <row r="303" spans="1:5" ht="21.75">
      <c r="A303" s="55"/>
      <c r="B303" s="55"/>
      <c r="C303" s="59" t="s">
        <v>119</v>
      </c>
      <c r="D303" s="45"/>
      <c r="E303" s="56"/>
    </row>
    <row r="304" spans="1:5" ht="21.75">
      <c r="A304" s="56">
        <f>40000+25000+2000</f>
        <v>67000</v>
      </c>
      <c r="B304" s="56">
        <f>83340.93+E304</f>
        <v>93861.70999999999</v>
      </c>
      <c r="C304" t="s">
        <v>112</v>
      </c>
      <c r="D304" s="63" t="s">
        <v>130</v>
      </c>
      <c r="E304" s="82">
        <v>10520.78</v>
      </c>
    </row>
    <row r="305" spans="1:5" ht="21.75">
      <c r="A305" s="56">
        <f>2000+95000</f>
        <v>97000</v>
      </c>
      <c r="B305" s="56">
        <v>44679.6</v>
      </c>
      <c r="C305" t="s">
        <v>113</v>
      </c>
      <c r="D305" s="63" t="s">
        <v>131</v>
      </c>
      <c r="E305" s="56">
        <v>0</v>
      </c>
    </row>
    <row r="306" spans="1:5" ht="21.75">
      <c r="A306" s="56">
        <f>3000+5000</f>
        <v>8000</v>
      </c>
      <c r="B306" s="56">
        <v>0</v>
      </c>
      <c r="C306" t="s">
        <v>114</v>
      </c>
      <c r="D306" s="63" t="s">
        <v>132</v>
      </c>
      <c r="E306" s="56">
        <v>0</v>
      </c>
    </row>
    <row r="307" spans="1:5" ht="21.75">
      <c r="A307" s="56"/>
      <c r="B307" s="56">
        <v>800</v>
      </c>
      <c r="C307" t="s">
        <v>115</v>
      </c>
      <c r="D307" s="63" t="s">
        <v>133</v>
      </c>
      <c r="E307" s="56">
        <v>0</v>
      </c>
    </row>
    <row r="308" spans="1:5" ht="21.75">
      <c r="A308" s="56">
        <v>70000</v>
      </c>
      <c r="B308" s="56">
        <f>61617.15+E308</f>
        <v>84317.15</v>
      </c>
      <c r="C308" t="s">
        <v>48</v>
      </c>
      <c r="D308" s="63" t="s">
        <v>134</v>
      </c>
      <c r="E308" s="56">
        <v>22700</v>
      </c>
    </row>
    <row r="309" spans="1:5" ht="21.75">
      <c r="A309" s="56">
        <f>590000+982800+350000+4746090+5000+15000+25000</f>
        <v>6713890</v>
      </c>
      <c r="B309" s="56">
        <f>2559453.04+E309</f>
        <v>4523175.77</v>
      </c>
      <c r="C309" t="s">
        <v>116</v>
      </c>
      <c r="D309" s="63" t="s">
        <v>135</v>
      </c>
      <c r="E309" s="82">
        <v>1963722.73</v>
      </c>
    </row>
    <row r="310" spans="1:5" ht="21.75">
      <c r="A310" s="56">
        <v>4124000</v>
      </c>
      <c r="B310" s="56">
        <v>1958582</v>
      </c>
      <c r="C310" t="s">
        <v>19</v>
      </c>
      <c r="D310" s="63" t="s">
        <v>136</v>
      </c>
      <c r="E310" s="82">
        <v>0</v>
      </c>
    </row>
    <row r="311" spans="1:5" ht="22.5" thickBot="1">
      <c r="A311" s="57">
        <f>SUM(A304:A310)</f>
        <v>11079890</v>
      </c>
      <c r="B311" s="57">
        <f>SUM(B304:B310)</f>
        <v>6705416.2299999995</v>
      </c>
      <c r="C311" s="53"/>
      <c r="D311" s="45"/>
      <c r="E311" s="61">
        <f>SUM(E304:E310)</f>
        <v>1996943.51</v>
      </c>
    </row>
    <row r="312" spans="2:5" ht="18.75" customHeight="1" thickTop="1">
      <c r="B312" s="58">
        <v>0</v>
      </c>
      <c r="C312" t="s">
        <v>28</v>
      </c>
      <c r="D312" s="45"/>
      <c r="E312" s="56"/>
    </row>
    <row r="313" spans="2:5" ht="21.75">
      <c r="B313" s="56">
        <v>5500</v>
      </c>
      <c r="C313" t="s">
        <v>30</v>
      </c>
      <c r="D313" s="45">
        <v>700</v>
      </c>
      <c r="E313" s="56">
        <v>0</v>
      </c>
    </row>
    <row r="314" spans="2:5" ht="21.75">
      <c r="B314" s="56">
        <v>2562406</v>
      </c>
      <c r="C314" s="109" t="s">
        <v>124</v>
      </c>
      <c r="D314" s="110" t="s">
        <v>137</v>
      </c>
      <c r="E314" s="111">
        <f>+5!I100</f>
        <v>0</v>
      </c>
    </row>
    <row r="315" spans="2:5" ht="21.75">
      <c r="B315" s="56">
        <v>0</v>
      </c>
      <c r="C315" t="s">
        <v>123</v>
      </c>
      <c r="D315" s="45">
        <v>600</v>
      </c>
      <c r="E315" s="56">
        <f>+3!F107</f>
        <v>0</v>
      </c>
    </row>
    <row r="316" spans="2:5" ht="21.75">
      <c r="B316" s="56">
        <v>0</v>
      </c>
      <c r="C316" t="s">
        <v>117</v>
      </c>
      <c r="D316" s="45">
        <v>602</v>
      </c>
      <c r="E316" s="56">
        <v>0</v>
      </c>
    </row>
    <row r="317" spans="2:5" ht="21.75">
      <c r="B317" s="56">
        <f>260791.16+E317</f>
        <v>272506.08</v>
      </c>
      <c r="C317" s="109" t="s">
        <v>118</v>
      </c>
      <c r="D317" s="112">
        <v>900</v>
      </c>
      <c r="E317" s="111">
        <v>11714.92</v>
      </c>
    </row>
    <row r="318" spans="2:5" ht="21.75">
      <c r="B318" s="56">
        <v>550144</v>
      </c>
      <c r="C318" t="s">
        <v>101</v>
      </c>
      <c r="D318" s="45">
        <v>704</v>
      </c>
      <c r="E318" s="56">
        <v>0</v>
      </c>
    </row>
    <row r="319" spans="2:5" ht="18.75" customHeight="1">
      <c r="B319" s="56">
        <f>172210+E319</f>
        <v>276740</v>
      </c>
      <c r="C319" t="s">
        <v>139</v>
      </c>
      <c r="D319" s="63" t="s">
        <v>138</v>
      </c>
      <c r="E319" s="56">
        <v>104530</v>
      </c>
    </row>
    <row r="320" spans="2:5" ht="11.25" customHeight="1">
      <c r="B320" s="56"/>
      <c r="D320" s="45"/>
      <c r="E320" s="56"/>
    </row>
    <row r="321" spans="2:5" ht="21.75">
      <c r="B321" s="56"/>
      <c r="C321" s="53"/>
      <c r="D321" s="45"/>
      <c r="E321" s="56"/>
    </row>
    <row r="322" spans="2:5" ht="21.75">
      <c r="B322" s="56"/>
      <c r="C322" s="53">
        <v>0</v>
      </c>
      <c r="D322" s="45"/>
      <c r="E322" s="56"/>
    </row>
    <row r="323" spans="2:5" ht="21.75">
      <c r="B323" s="56">
        <f>+B312+B313+B314+B315+B316+B317+B318+B319</f>
        <v>3667296.08</v>
      </c>
      <c r="D323" s="45"/>
      <c r="E323" s="56">
        <f>+E312+E313+E314+E315+E316+E317+E318+E319</f>
        <v>116244.92</v>
      </c>
    </row>
    <row r="324" spans="2:5" ht="21.75">
      <c r="B324" s="60">
        <f>SUM(B311+B323)</f>
        <v>10372712.309999999</v>
      </c>
      <c r="D324" s="46"/>
      <c r="E324" s="60">
        <f>SUM(E311+E323)</f>
        <v>2113188.43</v>
      </c>
    </row>
    <row r="325" ht="21.75">
      <c r="D325" s="44"/>
    </row>
    <row r="326" ht="21.75">
      <c r="D326" s="44"/>
    </row>
    <row r="327" ht="21.75">
      <c r="D327" s="44"/>
    </row>
    <row r="328" ht="21.75">
      <c r="D328" s="44"/>
    </row>
    <row r="329" ht="21.75">
      <c r="D329" s="44"/>
    </row>
    <row r="330" ht="21.75">
      <c r="D330" s="44"/>
    </row>
    <row r="331" spans="1:5" ht="21.75">
      <c r="A331" s="424">
        <v>2</v>
      </c>
      <c r="B331" s="424"/>
      <c r="C331" s="424"/>
      <c r="D331" s="424"/>
      <c r="E331" s="424"/>
    </row>
    <row r="332" spans="1:5" ht="20.25" customHeight="1">
      <c r="A332" s="425" t="s">
        <v>105</v>
      </c>
      <c r="B332" s="426"/>
      <c r="C332" s="48"/>
      <c r="D332" s="48"/>
      <c r="E332" s="49" t="s">
        <v>111</v>
      </c>
    </row>
    <row r="333" spans="1:5" ht="20.25" customHeight="1">
      <c r="A333" s="48" t="s">
        <v>106</v>
      </c>
      <c r="B333" s="48" t="s">
        <v>108</v>
      </c>
      <c r="C333" s="50" t="s">
        <v>2</v>
      </c>
      <c r="D333" s="50" t="s">
        <v>109</v>
      </c>
      <c r="E333" s="48" t="s">
        <v>108</v>
      </c>
    </row>
    <row r="334" spans="1:5" ht="20.25" customHeight="1" thickBot="1">
      <c r="A334" s="51" t="s">
        <v>107</v>
      </c>
      <c r="B334" s="51" t="s">
        <v>107</v>
      </c>
      <c r="C334" s="51">
        <f>642280-522780</f>
        <v>119500</v>
      </c>
      <c r="D334" s="51" t="s">
        <v>110</v>
      </c>
      <c r="E334" s="51" t="s">
        <v>107</v>
      </c>
    </row>
    <row r="335" spans="1:5" ht="20.25" customHeight="1" thickTop="1">
      <c r="A335" s="55"/>
      <c r="B335" s="55"/>
      <c r="C335" s="59" t="s">
        <v>120</v>
      </c>
      <c r="D335" s="45"/>
      <c r="E335" s="56"/>
    </row>
    <row r="336" spans="1:5" ht="21.75">
      <c r="A336" s="56">
        <v>400000</v>
      </c>
      <c r="B336" s="201">
        <f>541956+E336</f>
        <v>642280</v>
      </c>
      <c r="C336" t="s">
        <v>22</v>
      </c>
      <c r="D336" s="65" t="s">
        <v>141</v>
      </c>
      <c r="E336" s="56">
        <v>100324</v>
      </c>
    </row>
    <row r="337" spans="1:5" ht="21.75">
      <c r="A337" s="56">
        <v>1495307</v>
      </c>
      <c r="B337" s="56">
        <f>850065.16+E337</f>
        <v>975511.61</v>
      </c>
      <c r="C337" t="s">
        <v>12</v>
      </c>
      <c r="D337" s="45">
        <v>100</v>
      </c>
      <c r="E337" s="56">
        <v>125446.45</v>
      </c>
    </row>
    <row r="338" spans="1:5" ht="21.75">
      <c r="A338" s="56">
        <v>169890</v>
      </c>
      <c r="B338" s="56">
        <f>103500+E338</f>
        <v>124090</v>
      </c>
      <c r="C338" t="s">
        <v>13</v>
      </c>
      <c r="D338" s="45">
        <v>120</v>
      </c>
      <c r="E338" s="56">
        <v>20590</v>
      </c>
    </row>
    <row r="339" spans="1:5" ht="21.75">
      <c r="A339" s="56">
        <v>114240</v>
      </c>
      <c r="B339" s="56">
        <v>34160</v>
      </c>
      <c r="C339" t="s">
        <v>14</v>
      </c>
      <c r="D339" s="45">
        <v>130</v>
      </c>
      <c r="E339" s="56">
        <v>0</v>
      </c>
    </row>
    <row r="340" spans="1:5" ht="21.75">
      <c r="A340" s="56">
        <v>1188030</v>
      </c>
      <c r="B340" s="56">
        <f>595511+E340</f>
        <v>705095</v>
      </c>
      <c r="C340" t="s">
        <v>15</v>
      </c>
      <c r="D340" s="45">
        <v>200</v>
      </c>
      <c r="E340" s="56">
        <v>109584</v>
      </c>
    </row>
    <row r="341" spans="1:5" ht="21.75">
      <c r="A341" s="56">
        <v>1546708</v>
      </c>
      <c r="B341" s="56">
        <f>254810.59+E341</f>
        <v>294200.88</v>
      </c>
      <c r="C341" t="s">
        <v>16</v>
      </c>
      <c r="D341" s="45">
        <v>250</v>
      </c>
      <c r="E341" s="56">
        <v>39390.29</v>
      </c>
    </row>
    <row r="342" spans="1:5" ht="21.75">
      <c r="A342" s="56">
        <v>234069</v>
      </c>
      <c r="B342" s="56">
        <f>34914.7+E342</f>
        <v>50604.7</v>
      </c>
      <c r="C342" t="s">
        <v>17</v>
      </c>
      <c r="D342" s="45">
        <v>270</v>
      </c>
      <c r="E342" s="56">
        <v>15690</v>
      </c>
    </row>
    <row r="343" spans="1:5" ht="21.75">
      <c r="A343" s="56">
        <v>68806</v>
      </c>
      <c r="B343" s="56">
        <f>33599.79+E343</f>
        <v>41976.65</v>
      </c>
      <c r="C343" t="s">
        <v>18</v>
      </c>
      <c r="D343" s="45">
        <v>300</v>
      </c>
      <c r="E343" s="56">
        <v>8376.86</v>
      </c>
    </row>
    <row r="344" spans="1:5" ht="21.75">
      <c r="A344" s="56">
        <v>675040</v>
      </c>
      <c r="B344" s="56">
        <f>41264+E344</f>
        <v>141264</v>
      </c>
      <c r="C344" t="s">
        <v>19</v>
      </c>
      <c r="D344" s="45">
        <v>400</v>
      </c>
      <c r="E344" s="56">
        <v>100000</v>
      </c>
    </row>
    <row r="345" spans="1:5" ht="21.75">
      <c r="A345" s="56">
        <v>463800</v>
      </c>
      <c r="B345" s="56">
        <v>45881.59</v>
      </c>
      <c r="C345" t="s">
        <v>20</v>
      </c>
      <c r="D345" s="45">
        <v>450</v>
      </c>
      <c r="E345" s="56">
        <v>0</v>
      </c>
    </row>
    <row r="346" spans="1:5" ht="21.75">
      <c r="A346" s="56">
        <f>2029000+4124000</f>
        <v>6153000</v>
      </c>
      <c r="B346" s="56">
        <v>0</v>
      </c>
      <c r="C346" t="s">
        <v>21</v>
      </c>
      <c r="D346" s="45">
        <v>500</v>
      </c>
      <c r="E346" s="56">
        <v>0</v>
      </c>
    </row>
    <row r="347" spans="1:5" ht="21.75">
      <c r="A347" s="56"/>
      <c r="B347" s="56">
        <f>50000+E347</f>
        <v>57000</v>
      </c>
      <c r="C347" t="s">
        <v>121</v>
      </c>
      <c r="D347" s="45">
        <v>550</v>
      </c>
      <c r="E347" s="56">
        <v>7000</v>
      </c>
    </row>
    <row r="348" spans="1:5" ht="30" thickBot="1">
      <c r="A348" s="57">
        <f>SUM(A336:A346)</f>
        <v>12508890</v>
      </c>
      <c r="B348" s="57">
        <f>SUM(B336:B347)</f>
        <v>3112064.4299999997</v>
      </c>
      <c r="C348" s="176"/>
      <c r="D348" s="45"/>
      <c r="E348" s="57">
        <f>SUM(E336:E347)</f>
        <v>526401.6</v>
      </c>
    </row>
    <row r="349" spans="2:5" ht="25.5" customHeight="1" thickTop="1">
      <c r="B349" s="58">
        <v>75000</v>
      </c>
      <c r="C349" t="s">
        <v>28</v>
      </c>
      <c r="D349" s="45"/>
      <c r="E349" s="56">
        <v>0</v>
      </c>
    </row>
    <row r="350" spans="1:5" ht="21.75">
      <c r="A350" s="183"/>
      <c r="B350" s="184">
        <v>766270</v>
      </c>
      <c r="C350" s="185" t="s">
        <v>30</v>
      </c>
      <c r="D350" s="186">
        <v>700</v>
      </c>
      <c r="E350" s="184">
        <v>0</v>
      </c>
    </row>
    <row r="351" spans="2:5" ht="21.75">
      <c r="B351" s="82">
        <f>1713933.84+E351</f>
        <v>2079360.7200000002</v>
      </c>
      <c r="C351" s="109" t="s">
        <v>124</v>
      </c>
      <c r="D351" s="112">
        <v>3002</v>
      </c>
      <c r="E351" s="111">
        <v>365426.88</v>
      </c>
    </row>
    <row r="352" spans="2:5" ht="21.75">
      <c r="B352" s="182">
        <f>1895540.34+E352</f>
        <v>1895540.34</v>
      </c>
      <c r="C352" t="s">
        <v>122</v>
      </c>
      <c r="D352" s="45">
        <v>600</v>
      </c>
      <c r="E352" s="56">
        <v>0</v>
      </c>
    </row>
    <row r="353" spans="2:5" ht="21.75">
      <c r="B353" s="182">
        <v>360208.2</v>
      </c>
      <c r="C353" t="s">
        <v>117</v>
      </c>
      <c r="D353" s="45">
        <v>602</v>
      </c>
      <c r="E353" s="56">
        <f>+4!E102</f>
        <v>0</v>
      </c>
    </row>
    <row r="354" spans="2:5" ht="21.75">
      <c r="B354" s="56">
        <f>530065.24+E354</f>
        <v>548282.32</v>
      </c>
      <c r="C354" s="109" t="s">
        <v>118</v>
      </c>
      <c r="D354" s="112">
        <v>900</v>
      </c>
      <c r="E354" s="111">
        <v>18217.08</v>
      </c>
    </row>
    <row r="355" spans="1:5" ht="21.75">
      <c r="A355" s="185"/>
      <c r="B355" s="184">
        <v>550144</v>
      </c>
      <c r="C355" s="185" t="s">
        <v>101</v>
      </c>
      <c r="D355" s="186">
        <v>704</v>
      </c>
      <c r="E355" s="184">
        <v>0</v>
      </c>
    </row>
    <row r="356" spans="2:5" ht="21.75">
      <c r="B356" s="56">
        <f>40210+E356</f>
        <v>139210</v>
      </c>
      <c r="C356" t="s">
        <v>140</v>
      </c>
      <c r="D356" s="63" t="s">
        <v>138</v>
      </c>
      <c r="E356" s="56">
        <v>99000</v>
      </c>
    </row>
    <row r="357" spans="2:5" ht="21.75">
      <c r="B357" s="56"/>
      <c r="D357" s="45"/>
      <c r="E357" s="56"/>
    </row>
    <row r="358" spans="2:5" ht="21.75">
      <c r="B358" s="60">
        <f>SUM(B349:B357)</f>
        <v>6414015.580000001</v>
      </c>
      <c r="D358" s="45"/>
      <c r="E358" s="60">
        <f>SUM(E349:E357)</f>
        <v>482643.96</v>
      </c>
    </row>
    <row r="359" spans="2:5" ht="21.75">
      <c r="B359" s="60">
        <f>+B358+B348</f>
        <v>9526080.010000002</v>
      </c>
      <c r="C359" s="44" t="s">
        <v>125</v>
      </c>
      <c r="D359" s="45"/>
      <c r="E359" s="60">
        <f>SUM(E358,E348)</f>
        <v>1009045.56</v>
      </c>
    </row>
    <row r="360" spans="2:5" ht="21.75">
      <c r="B360" s="56"/>
      <c r="C360" s="32" t="s">
        <v>126</v>
      </c>
      <c r="D360" s="45"/>
      <c r="E360" s="56"/>
    </row>
    <row r="361" spans="2:5" ht="15.75" customHeight="1">
      <c r="B361" s="56">
        <f>+B324-B359</f>
        <v>846632.299999997</v>
      </c>
      <c r="C361" s="44" t="s">
        <v>127</v>
      </c>
      <c r="D361" s="45"/>
      <c r="E361" s="56">
        <f>SUM(E324-E359)</f>
        <v>1104142.87</v>
      </c>
    </row>
    <row r="362" spans="2:5" ht="21.75">
      <c r="B362" s="56"/>
      <c r="C362" s="32" t="s">
        <v>128</v>
      </c>
      <c r="D362" s="45"/>
      <c r="E362" s="56"/>
    </row>
    <row r="363" spans="2:5" ht="18" customHeight="1">
      <c r="B363" s="60">
        <f>SUM(B302+B324-B359)</f>
        <v>11177228.599999998</v>
      </c>
      <c r="C363" s="44" t="s">
        <v>129</v>
      </c>
      <c r="D363" s="46"/>
      <c r="E363" s="60">
        <f>SUM(E361+E302)</f>
        <v>11177228.600000001</v>
      </c>
    </row>
    <row r="364" spans="2:5" ht="21.75">
      <c r="B364" s="177"/>
      <c r="C364" s="44"/>
      <c r="D364" s="178"/>
      <c r="E364" s="177">
        <f>+B363-E363</f>
        <v>0</v>
      </c>
    </row>
    <row r="365" ht="17.25" customHeight="1">
      <c r="A365" t="s">
        <v>237</v>
      </c>
    </row>
    <row r="366" spans="1:4" ht="24" customHeight="1">
      <c r="A366" t="s">
        <v>144</v>
      </c>
      <c r="C366" t="s">
        <v>238</v>
      </c>
      <c r="D366" t="s">
        <v>233</v>
      </c>
    </row>
    <row r="367" ht="23.25" customHeight="1"/>
    <row r="439" ht="15.75" customHeight="1"/>
    <row r="440" spans="1:5" ht="15.75" customHeight="1">
      <c r="A440" s="47" t="s">
        <v>102</v>
      </c>
      <c r="D440" s="427" t="s">
        <v>195</v>
      </c>
      <c r="E440" s="427"/>
    </row>
    <row r="441" ht="21.75">
      <c r="A441" s="47" t="s">
        <v>103</v>
      </c>
    </row>
    <row r="442" spans="1:5" ht="16.5" customHeight="1">
      <c r="A442" s="456" t="s">
        <v>104</v>
      </c>
      <c r="B442" s="456"/>
      <c r="C442" s="456"/>
      <c r="D442" s="456"/>
      <c r="E442" s="456"/>
    </row>
    <row r="443" spans="1:5" ht="16.5" customHeight="1">
      <c r="A443" s="428" t="s">
        <v>226</v>
      </c>
      <c r="B443" s="428"/>
      <c r="C443" s="428"/>
      <c r="D443" s="428"/>
      <c r="E443" s="428"/>
    </row>
    <row r="444" spans="1:5" ht="16.5" customHeight="1">
      <c r="A444" s="425" t="s">
        <v>105</v>
      </c>
      <c r="B444" s="426"/>
      <c r="C444" s="48"/>
      <c r="D444" s="48"/>
      <c r="E444" s="49" t="s">
        <v>111</v>
      </c>
    </row>
    <row r="445" spans="1:5" ht="21.75">
      <c r="A445" s="48" t="s">
        <v>106</v>
      </c>
      <c r="B445" s="48" t="s">
        <v>108</v>
      </c>
      <c r="C445" s="50" t="s">
        <v>2</v>
      </c>
      <c r="D445" s="50" t="s">
        <v>109</v>
      </c>
      <c r="E445" s="48" t="s">
        <v>108</v>
      </c>
    </row>
    <row r="446" spans="1:5" ht="22.5" thickBot="1">
      <c r="A446" s="51" t="s">
        <v>107</v>
      </c>
      <c r="B446" s="51" t="s">
        <v>107</v>
      </c>
      <c r="C446" s="51"/>
      <c r="D446" s="51" t="s">
        <v>110</v>
      </c>
      <c r="E446" s="51" t="s">
        <v>107</v>
      </c>
    </row>
    <row r="447" spans="1:5" ht="22.5" thickTop="1">
      <c r="A447" s="54"/>
      <c r="B447" s="62">
        <f>10373005.25-42408.95</f>
        <v>10330596.3</v>
      </c>
      <c r="C447" s="52" t="s">
        <v>52</v>
      </c>
      <c r="D447" s="45"/>
      <c r="E447" s="181">
        <v>9379486.45</v>
      </c>
    </row>
    <row r="448" spans="1:5" ht="21.75">
      <c r="A448" s="55"/>
      <c r="B448" s="55"/>
      <c r="C448" s="59" t="s">
        <v>119</v>
      </c>
      <c r="D448" s="45"/>
      <c r="E448" s="56"/>
    </row>
    <row r="449" spans="1:5" ht="21.75">
      <c r="A449" s="56">
        <f>40000+25000+2000</f>
        <v>67000</v>
      </c>
      <c r="B449" s="56">
        <v>37215.03</v>
      </c>
      <c r="C449" t="s">
        <v>112</v>
      </c>
      <c r="D449" s="63" t="s">
        <v>130</v>
      </c>
      <c r="E449" s="82">
        <v>28712.12</v>
      </c>
    </row>
    <row r="450" spans="1:5" ht="21.75">
      <c r="A450" s="56"/>
      <c r="B450" s="56">
        <v>41309.6</v>
      </c>
      <c r="C450" t="s">
        <v>113</v>
      </c>
      <c r="D450" s="63" t="s">
        <v>131</v>
      </c>
      <c r="E450" s="56">
        <v>39932</v>
      </c>
    </row>
    <row r="451" spans="1:5" ht="21.75">
      <c r="A451" s="56">
        <f>3000+5000</f>
        <v>8000</v>
      </c>
      <c r="B451" s="56">
        <v>0</v>
      </c>
      <c r="C451" t="s">
        <v>114</v>
      </c>
      <c r="D451" s="63" t="s">
        <v>132</v>
      </c>
      <c r="E451" s="56">
        <v>0</v>
      </c>
    </row>
    <row r="452" spans="1:5" ht="21.75">
      <c r="A452" s="56"/>
      <c r="B452" s="56">
        <v>800</v>
      </c>
      <c r="C452" t="s">
        <v>115</v>
      </c>
      <c r="D452" s="63" t="s">
        <v>133</v>
      </c>
      <c r="E452" s="56">
        <v>0</v>
      </c>
    </row>
    <row r="453" spans="1:5" ht="21.75">
      <c r="A453" s="56">
        <v>70000</v>
      </c>
      <c r="B453" s="56">
        <f>4000+E453</f>
        <v>16000</v>
      </c>
      <c r="C453" t="s">
        <v>48</v>
      </c>
      <c r="D453" s="63" t="s">
        <v>134</v>
      </c>
      <c r="E453" s="56">
        <v>12000</v>
      </c>
    </row>
    <row r="454" spans="1:5" ht="21.75">
      <c r="A454" s="56">
        <f>590000+982800+350000+4746090+5000+15000+25000</f>
        <v>6713890</v>
      </c>
      <c r="B454" s="56">
        <v>1912829.69</v>
      </c>
      <c r="C454" t="s">
        <v>116</v>
      </c>
      <c r="D454" s="63" t="s">
        <v>135</v>
      </c>
      <c r="E454" s="82">
        <v>284727.3</v>
      </c>
    </row>
    <row r="455" spans="1:5" ht="21.75">
      <c r="A455" s="56">
        <v>4124000</v>
      </c>
      <c r="B455" s="56">
        <v>0</v>
      </c>
      <c r="C455" t="s">
        <v>19</v>
      </c>
      <c r="D455" s="63" t="s">
        <v>136</v>
      </c>
      <c r="E455" s="56">
        <v>0</v>
      </c>
    </row>
    <row r="456" spans="1:5" ht="22.5" thickBot="1">
      <c r="A456" s="57">
        <f>SUM(A449:A455)</f>
        <v>10982890</v>
      </c>
      <c r="B456" s="57">
        <f>SUM(B449:B455)</f>
        <v>2008154.3199999998</v>
      </c>
      <c r="C456" s="53"/>
      <c r="D456" s="45"/>
      <c r="E456" s="61">
        <f>SUM(E449:E455)</f>
        <v>365371.42</v>
      </c>
    </row>
    <row r="457" spans="2:5" ht="22.5" thickTop="1">
      <c r="B457" s="58">
        <f>+E457</f>
        <v>0</v>
      </c>
      <c r="C457" t="s">
        <v>28</v>
      </c>
      <c r="D457" s="45"/>
      <c r="E457" s="56"/>
    </row>
    <row r="458" spans="2:5" ht="21.75">
      <c r="B458" s="56">
        <f>5500+E458</f>
        <v>5500</v>
      </c>
      <c r="C458" t="s">
        <v>30</v>
      </c>
      <c r="D458" s="45">
        <v>700</v>
      </c>
      <c r="E458" s="56">
        <v>0</v>
      </c>
    </row>
    <row r="459" spans="2:5" ht="21.75">
      <c r="B459" s="56">
        <f>605083+80100+696048</f>
        <v>1381231</v>
      </c>
      <c r="C459" s="109" t="s">
        <v>124</v>
      </c>
      <c r="D459" s="110" t="s">
        <v>137</v>
      </c>
      <c r="E459" s="111">
        <v>696048</v>
      </c>
    </row>
    <row r="460" spans="2:5" ht="21.75">
      <c r="B460" s="56">
        <f>+E460</f>
        <v>0</v>
      </c>
      <c r="C460" t="s">
        <v>123</v>
      </c>
      <c r="D460" s="45">
        <v>600</v>
      </c>
      <c r="E460" s="56">
        <v>0</v>
      </c>
    </row>
    <row r="461" spans="2:5" ht="21.75">
      <c r="B461" s="56">
        <f>+E461</f>
        <v>0</v>
      </c>
      <c r="C461" t="s">
        <v>117</v>
      </c>
      <c r="D461" s="45">
        <v>602</v>
      </c>
      <c r="E461" s="56">
        <v>0</v>
      </c>
    </row>
    <row r="462" spans="2:5" ht="21.75">
      <c r="B462" s="56">
        <f>215862.9+5888</f>
        <v>221750.9</v>
      </c>
      <c r="C462" s="109" t="s">
        <v>118</v>
      </c>
      <c r="D462" s="112">
        <v>900</v>
      </c>
      <c r="E462" s="111">
        <v>28750.17</v>
      </c>
    </row>
    <row r="463" spans="1:5" ht="21.75">
      <c r="A463" s="200"/>
      <c r="B463" s="201">
        <f>359144+191000</f>
        <v>550144</v>
      </c>
      <c r="C463" s="200" t="s">
        <v>101</v>
      </c>
      <c r="D463" s="202">
        <v>704</v>
      </c>
      <c r="E463" s="201">
        <v>0</v>
      </c>
    </row>
    <row r="464" spans="2:5" ht="21.75">
      <c r="B464" s="56">
        <v>7210</v>
      </c>
      <c r="C464" t="s">
        <v>139</v>
      </c>
      <c r="D464" s="63" t="s">
        <v>138</v>
      </c>
      <c r="E464" s="56">
        <v>0</v>
      </c>
    </row>
    <row r="465" spans="2:5" ht="21.75">
      <c r="B465" s="56"/>
      <c r="D465" s="45"/>
      <c r="E465" s="56"/>
    </row>
    <row r="466" spans="2:5" ht="21.75">
      <c r="B466" s="82" t="s">
        <v>219</v>
      </c>
      <c r="C466" s="53"/>
      <c r="D466" s="45"/>
      <c r="E466" s="56"/>
    </row>
    <row r="467" spans="2:5" ht="21.75">
      <c r="B467" s="56"/>
      <c r="C467" s="53"/>
      <c r="D467" s="45"/>
      <c r="E467" s="56"/>
    </row>
    <row r="468" spans="2:5" ht="21.75">
      <c r="B468" s="56">
        <f>+B457+B458+B459+B460+B461+B462+B463+B464</f>
        <v>2165835.9</v>
      </c>
      <c r="D468" s="45"/>
      <c r="E468" s="56">
        <f>+E457+E458+E459+E460+E461+E462+E463+E464</f>
        <v>724798.17</v>
      </c>
    </row>
    <row r="469" spans="2:5" ht="21.75">
      <c r="B469" s="60">
        <f>SUM(B456+B468)</f>
        <v>4173990.2199999997</v>
      </c>
      <c r="D469" s="46"/>
      <c r="E469" s="60">
        <f>SUM(E456+E468)</f>
        <v>1090169.59</v>
      </c>
    </row>
    <row r="470" spans="2:5" ht="17.25" customHeight="1">
      <c r="B470" s="177"/>
      <c r="D470" s="178"/>
      <c r="E470" s="177"/>
    </row>
    <row r="471" spans="2:5" ht="17.25" customHeight="1">
      <c r="B471" s="177"/>
      <c r="D471" s="178"/>
      <c r="E471" s="177"/>
    </row>
    <row r="472" spans="2:5" ht="17.25" customHeight="1">
      <c r="B472" s="177"/>
      <c r="D472" s="178"/>
      <c r="E472" s="177"/>
    </row>
    <row r="473" spans="2:5" ht="17.25" customHeight="1">
      <c r="B473" s="177"/>
      <c r="D473" s="178"/>
      <c r="E473" s="177"/>
    </row>
    <row r="474" spans="2:5" ht="17.25" customHeight="1">
      <c r="B474" s="177"/>
      <c r="D474" s="178"/>
      <c r="E474" s="177"/>
    </row>
    <row r="475" spans="2:5" ht="24" customHeight="1">
      <c r="B475" s="177"/>
      <c r="D475" s="178"/>
      <c r="E475" s="177"/>
    </row>
    <row r="476" spans="2:5" ht="23.25" customHeight="1">
      <c r="B476" s="177"/>
      <c r="D476" s="178"/>
      <c r="E476" s="177"/>
    </row>
    <row r="477" spans="1:5" ht="21.75">
      <c r="A477" s="424">
        <v>2</v>
      </c>
      <c r="B477" s="424"/>
      <c r="C477" s="424"/>
      <c r="D477" s="424"/>
      <c r="E477" s="424"/>
    </row>
    <row r="478" spans="1:5" ht="21.75">
      <c r="A478" s="425" t="s">
        <v>105</v>
      </c>
      <c r="B478" s="426"/>
      <c r="C478" s="48"/>
      <c r="D478" s="48"/>
      <c r="E478" s="49" t="s">
        <v>111</v>
      </c>
    </row>
    <row r="479" spans="1:5" ht="21.75">
      <c r="A479" s="48" t="s">
        <v>106</v>
      </c>
      <c r="B479" s="48" t="s">
        <v>108</v>
      </c>
      <c r="C479" s="50" t="s">
        <v>2</v>
      </c>
      <c r="D479" s="50" t="s">
        <v>109</v>
      </c>
      <c r="E479" s="48" t="s">
        <v>108</v>
      </c>
    </row>
    <row r="480" spans="1:5" ht="22.5" thickBot="1">
      <c r="A480" s="51" t="s">
        <v>107</v>
      </c>
      <c r="B480" s="51" t="s">
        <v>107</v>
      </c>
      <c r="C480" s="51"/>
      <c r="D480" s="51" t="s">
        <v>110</v>
      </c>
      <c r="E480" s="51" t="s">
        <v>107</v>
      </c>
    </row>
    <row r="481" spans="1:5" ht="22.5" thickTop="1">
      <c r="A481" s="55"/>
      <c r="B481" s="55"/>
      <c r="C481" s="59" t="s">
        <v>120</v>
      </c>
      <c r="D481" s="45"/>
      <c r="E481" s="56"/>
    </row>
    <row r="482" spans="1:5" ht="21.75">
      <c r="A482" s="56">
        <v>400000</v>
      </c>
      <c r="B482" s="56">
        <v>259680</v>
      </c>
      <c r="C482" t="s">
        <v>22</v>
      </c>
      <c r="D482" s="65" t="s">
        <v>141</v>
      </c>
      <c r="E482" s="56">
        <v>588</v>
      </c>
    </row>
    <row r="483" spans="1:5" ht="21.75">
      <c r="A483" s="56">
        <v>1495307</v>
      </c>
      <c r="B483" s="56">
        <v>594495.16</v>
      </c>
      <c r="C483" t="s">
        <v>12</v>
      </c>
      <c r="D483" s="45">
        <v>100</v>
      </c>
      <c r="E483" s="56">
        <v>127150</v>
      </c>
    </row>
    <row r="484" spans="1:5" ht="21.75">
      <c r="A484" s="56">
        <v>169890</v>
      </c>
      <c r="B484" s="56">
        <v>73700</v>
      </c>
      <c r="C484" t="s">
        <v>13</v>
      </c>
      <c r="D484" s="45">
        <v>120</v>
      </c>
      <c r="E484" s="56">
        <v>14740</v>
      </c>
    </row>
    <row r="485" spans="1:5" ht="21.75">
      <c r="A485" s="56">
        <v>114240</v>
      </c>
      <c r="B485" s="56">
        <v>24400</v>
      </c>
      <c r="C485" t="s">
        <v>14</v>
      </c>
      <c r="D485" s="45">
        <v>130</v>
      </c>
      <c r="E485" s="56">
        <v>4880</v>
      </c>
    </row>
    <row r="486" spans="1:5" ht="21.75">
      <c r="A486" s="56">
        <v>1188030</v>
      </c>
      <c r="B486" s="56">
        <v>430125</v>
      </c>
      <c r="C486" t="s">
        <v>15</v>
      </c>
      <c r="D486" s="45">
        <v>200</v>
      </c>
      <c r="E486" s="56">
        <v>95837</v>
      </c>
    </row>
    <row r="487" spans="1:5" ht="21.75">
      <c r="A487" s="56">
        <v>1546708</v>
      </c>
      <c r="B487" s="56">
        <v>246879.59</v>
      </c>
      <c r="C487" t="s">
        <v>16</v>
      </c>
      <c r="D487" s="45">
        <v>250</v>
      </c>
      <c r="E487" s="56">
        <v>214688</v>
      </c>
    </row>
    <row r="488" spans="1:5" ht="21.75">
      <c r="A488" s="56">
        <v>234069</v>
      </c>
      <c r="B488" s="56">
        <v>33634.7</v>
      </c>
      <c r="C488" t="s">
        <v>17</v>
      </c>
      <c r="D488" s="45">
        <v>270</v>
      </c>
      <c r="E488" s="56">
        <v>0</v>
      </c>
    </row>
    <row r="489" spans="1:5" ht="21.75">
      <c r="A489" s="56">
        <v>68806</v>
      </c>
      <c r="B489" s="56">
        <v>25296</v>
      </c>
      <c r="C489" t="s">
        <v>18</v>
      </c>
      <c r="D489" s="45">
        <v>300</v>
      </c>
      <c r="E489" s="56">
        <v>4016.08</v>
      </c>
    </row>
    <row r="490" spans="1:5" ht="21.75">
      <c r="A490" s="56">
        <v>675040</v>
      </c>
      <c r="B490" s="56">
        <v>38000</v>
      </c>
      <c r="C490" t="s">
        <v>19</v>
      </c>
      <c r="D490" s="45">
        <v>400</v>
      </c>
      <c r="E490" s="56">
        <v>38000</v>
      </c>
    </row>
    <row r="491" spans="1:5" ht="21.75">
      <c r="A491" s="56">
        <v>463800</v>
      </c>
      <c r="B491" s="56">
        <v>45881.59</v>
      </c>
      <c r="C491" t="s">
        <v>20</v>
      </c>
      <c r="D491" s="45">
        <v>450</v>
      </c>
      <c r="E491" s="56">
        <v>45881.59</v>
      </c>
    </row>
    <row r="492" spans="1:5" ht="21.75">
      <c r="A492" s="56">
        <f>2029000+4124000</f>
        <v>6153000</v>
      </c>
      <c r="B492" s="56">
        <f>+E492</f>
        <v>0</v>
      </c>
      <c r="C492" t="s">
        <v>21</v>
      </c>
      <c r="D492" s="45">
        <v>500</v>
      </c>
      <c r="E492" s="56">
        <v>0</v>
      </c>
    </row>
    <row r="493" spans="1:5" ht="21.75">
      <c r="A493" s="56"/>
      <c r="B493" s="56">
        <v>36000</v>
      </c>
      <c r="C493" t="s">
        <v>121</v>
      </c>
      <c r="D493" s="45">
        <v>550</v>
      </c>
      <c r="E493" s="56">
        <v>7000</v>
      </c>
    </row>
    <row r="494" spans="1:5" ht="30" thickBot="1">
      <c r="A494" s="57">
        <f>SUM(A482:A492)</f>
        <v>12508890</v>
      </c>
      <c r="B494" s="57">
        <f>SUM(B482:B493)</f>
        <v>1808092.0400000003</v>
      </c>
      <c r="C494" s="176"/>
      <c r="D494" s="45"/>
      <c r="E494" s="57">
        <f>SUM(E482:E493)</f>
        <v>552780.67</v>
      </c>
    </row>
    <row r="495" spans="2:5" ht="22.5" thickTop="1">
      <c r="B495" s="58">
        <v>75000</v>
      </c>
      <c r="C495" t="s">
        <v>28</v>
      </c>
      <c r="D495" s="45"/>
      <c r="E495" s="56">
        <v>75000</v>
      </c>
    </row>
    <row r="496" spans="1:5" ht="21.75">
      <c r="A496" s="183"/>
      <c r="B496" s="184">
        <v>467932</v>
      </c>
      <c r="C496" s="185" t="s">
        <v>30</v>
      </c>
      <c r="D496" s="186">
        <v>700</v>
      </c>
      <c r="E496" s="184">
        <v>0</v>
      </c>
    </row>
    <row r="497" spans="1:5" ht="21.75">
      <c r="A497" s="200"/>
      <c r="B497" s="201">
        <f>861046+5888</f>
        <v>866934</v>
      </c>
      <c r="C497" s="204" t="s">
        <v>124</v>
      </c>
      <c r="D497" s="205">
        <v>3002</v>
      </c>
      <c r="E497" s="206">
        <f>489014+5888</f>
        <v>494902</v>
      </c>
    </row>
    <row r="498" spans="2:5" ht="21.75">
      <c r="B498" s="182">
        <v>1644462.52</v>
      </c>
      <c r="C498" t="s">
        <v>122</v>
      </c>
      <c r="D498" s="45">
        <v>600</v>
      </c>
      <c r="E498" s="56">
        <v>596000</v>
      </c>
    </row>
    <row r="499" spans="2:5" ht="21.75">
      <c r="B499" s="182">
        <v>310110</v>
      </c>
      <c r="C499" t="s">
        <v>117</v>
      </c>
      <c r="D499" s="45">
        <v>602</v>
      </c>
      <c r="E499" s="56">
        <v>0</v>
      </c>
    </row>
    <row r="500" spans="2:5" ht="21.75">
      <c r="B500" s="56">
        <v>417158.74</v>
      </c>
      <c r="C500" s="109" t="s">
        <v>118</v>
      </c>
      <c r="D500" s="112">
        <v>900</v>
      </c>
      <c r="E500" s="111">
        <v>119620.15</v>
      </c>
    </row>
    <row r="501" spans="1:5" ht="21.75">
      <c r="A501" s="196"/>
      <c r="B501" s="197">
        <f>283544+E501</f>
        <v>550144</v>
      </c>
      <c r="C501" s="198" t="s">
        <v>101</v>
      </c>
      <c r="D501" s="199">
        <v>704</v>
      </c>
      <c r="E501" s="197">
        <v>266600</v>
      </c>
    </row>
    <row r="502" spans="2:5" ht="21.75">
      <c r="B502" s="56">
        <v>0</v>
      </c>
      <c r="C502" t="s">
        <v>140</v>
      </c>
      <c r="D502" s="63" t="s">
        <v>138</v>
      </c>
      <c r="E502" s="56">
        <v>0</v>
      </c>
    </row>
    <row r="503" spans="2:5" ht="21.75">
      <c r="B503" s="56"/>
      <c r="D503" s="45"/>
      <c r="E503" s="56"/>
    </row>
    <row r="504" spans="2:5" ht="21.75">
      <c r="B504" s="60">
        <f>SUM(B495:B503)</f>
        <v>4331741.26</v>
      </c>
      <c r="D504" s="45"/>
      <c r="E504" s="60">
        <f>SUM(E495:E503)</f>
        <v>1552122.15</v>
      </c>
    </row>
    <row r="505" spans="2:5" ht="21.75">
      <c r="B505" s="60">
        <f>+B494+B504</f>
        <v>6139833.3</v>
      </c>
      <c r="C505" s="44" t="s">
        <v>125</v>
      </c>
      <c r="D505" s="45"/>
      <c r="E505" s="60">
        <f>+E494+E504</f>
        <v>2104902.82</v>
      </c>
    </row>
    <row r="506" spans="2:5" ht="21.75">
      <c r="B506" s="56"/>
      <c r="C506" s="32" t="s">
        <v>126</v>
      </c>
      <c r="D506" s="45"/>
      <c r="E506" s="56"/>
    </row>
    <row r="507" spans="2:5" ht="21.75">
      <c r="B507" s="56">
        <f>+B469-B505</f>
        <v>-1965843.08</v>
      </c>
      <c r="C507" s="44" t="s">
        <v>127</v>
      </c>
      <c r="D507" s="45"/>
      <c r="E507" s="56">
        <f>SUM(E469-E505)</f>
        <v>-1014733.2299999997</v>
      </c>
    </row>
    <row r="508" spans="2:5" ht="21.75">
      <c r="B508" s="56"/>
      <c r="C508" s="32" t="s">
        <v>128</v>
      </c>
      <c r="D508" s="45"/>
      <c r="E508" s="56"/>
    </row>
    <row r="509" spans="2:5" ht="27" customHeight="1">
      <c r="B509" s="60">
        <f>SUM(B447+B469-B505)</f>
        <v>8364753.22</v>
      </c>
      <c r="C509" s="44" t="s">
        <v>129</v>
      </c>
      <c r="D509" s="46"/>
      <c r="E509" s="60">
        <f>+E447+E469-E505</f>
        <v>8364753.219999999</v>
      </c>
    </row>
    <row r="510" spans="2:5" ht="27" customHeight="1">
      <c r="B510" s="177"/>
      <c r="C510" s="44"/>
      <c r="D510" s="178"/>
      <c r="E510" s="177">
        <f>+B509-E509</f>
        <v>0</v>
      </c>
    </row>
    <row r="511" ht="27" customHeight="1">
      <c r="A511" t="s">
        <v>234</v>
      </c>
    </row>
    <row r="512" spans="1:4" ht="27" customHeight="1">
      <c r="A512" t="s">
        <v>144</v>
      </c>
      <c r="C512" t="s">
        <v>231</v>
      </c>
      <c r="D512" t="s">
        <v>233</v>
      </c>
    </row>
    <row r="513" ht="21.75">
      <c r="C513" t="s">
        <v>232</v>
      </c>
    </row>
    <row r="514" spans="1:5" ht="21.75">
      <c r="A514" s="47" t="s">
        <v>102</v>
      </c>
      <c r="D514" s="427" t="s">
        <v>195</v>
      </c>
      <c r="E514" s="427"/>
    </row>
    <row r="515" ht="21.75">
      <c r="A515" s="47" t="s">
        <v>103</v>
      </c>
    </row>
    <row r="516" spans="1:5" ht="23.25">
      <c r="A516" s="456" t="s">
        <v>104</v>
      </c>
      <c r="B516" s="456"/>
      <c r="C516" s="456"/>
      <c r="D516" s="456"/>
      <c r="E516" s="456"/>
    </row>
    <row r="517" spans="1:5" ht="21.75">
      <c r="A517" s="428" t="s">
        <v>220</v>
      </c>
      <c r="B517" s="428"/>
      <c r="C517" s="428"/>
      <c r="D517" s="428"/>
      <c r="E517" s="428"/>
    </row>
    <row r="518" spans="1:5" ht="21.75">
      <c r="A518" s="425" t="s">
        <v>105</v>
      </c>
      <c r="B518" s="426"/>
      <c r="C518" s="48"/>
      <c r="D518" s="48"/>
      <c r="E518" s="49" t="s">
        <v>111</v>
      </c>
    </row>
    <row r="519" spans="1:5" ht="21.75">
      <c r="A519" s="48" t="s">
        <v>106</v>
      </c>
      <c r="B519" s="48" t="s">
        <v>108</v>
      </c>
      <c r="C519" s="50" t="s">
        <v>2</v>
      </c>
      <c r="D519" s="50" t="s">
        <v>109</v>
      </c>
      <c r="E519" s="48" t="s">
        <v>108</v>
      </c>
    </row>
    <row r="520" spans="1:5" ht="22.5" thickBot="1">
      <c r="A520" s="51" t="s">
        <v>107</v>
      </c>
      <c r="B520" s="51" t="s">
        <v>107</v>
      </c>
      <c r="C520" s="51"/>
      <c r="D520" s="51" t="s">
        <v>110</v>
      </c>
      <c r="E520" s="51" t="s">
        <v>107</v>
      </c>
    </row>
    <row r="521" spans="1:5" ht="22.5" thickTop="1">
      <c r="A521" s="54"/>
      <c r="B521" s="62">
        <f>10373005.25-42408.95</f>
        <v>10330596.3</v>
      </c>
      <c r="C521" s="52" t="s">
        <v>52</v>
      </c>
      <c r="D521" s="45"/>
      <c r="E521" s="181">
        <v>9261892.2</v>
      </c>
    </row>
    <row r="522" spans="1:5" ht="21.75">
      <c r="A522" s="55"/>
      <c r="B522" s="55"/>
      <c r="C522" s="59" t="s">
        <v>119</v>
      </c>
      <c r="D522" s="45"/>
      <c r="E522" s="56"/>
    </row>
    <row r="523" spans="1:5" ht="21.75">
      <c r="A523" s="56">
        <f>40000+25000+2000</f>
        <v>67000</v>
      </c>
      <c r="B523" s="56">
        <v>8502.91</v>
      </c>
      <c r="C523" t="s">
        <v>112</v>
      </c>
      <c r="D523" s="63" t="s">
        <v>130</v>
      </c>
      <c r="E523" s="82">
        <v>3242.74</v>
      </c>
    </row>
    <row r="524" spans="1:5" ht="21.75">
      <c r="A524" s="56"/>
      <c r="B524" s="56">
        <v>1377.6</v>
      </c>
      <c r="C524" t="s">
        <v>113</v>
      </c>
      <c r="D524" s="63" t="s">
        <v>131</v>
      </c>
      <c r="E524" s="56">
        <v>0</v>
      </c>
    </row>
    <row r="525" spans="1:5" ht="21.75">
      <c r="A525" s="56">
        <f>3000+5000</f>
        <v>8000</v>
      </c>
      <c r="B525" s="56">
        <v>0</v>
      </c>
      <c r="C525" t="s">
        <v>114</v>
      </c>
      <c r="D525" s="63" t="s">
        <v>132</v>
      </c>
      <c r="E525" s="56">
        <v>0</v>
      </c>
    </row>
    <row r="526" spans="1:5" ht="21.75">
      <c r="A526" s="56"/>
      <c r="B526" s="56">
        <v>800</v>
      </c>
      <c r="C526" t="s">
        <v>115</v>
      </c>
      <c r="D526" s="63" t="s">
        <v>133</v>
      </c>
      <c r="E526" s="56">
        <v>800</v>
      </c>
    </row>
    <row r="527" spans="1:5" ht="21.75">
      <c r="A527" s="56">
        <v>70000</v>
      </c>
      <c r="B527" s="56">
        <v>4000</v>
      </c>
      <c r="C527" t="s">
        <v>48</v>
      </c>
      <c r="D527" s="63" t="s">
        <v>134</v>
      </c>
      <c r="E527" s="56">
        <v>0</v>
      </c>
    </row>
    <row r="528" spans="1:5" ht="21.75">
      <c r="A528" s="56">
        <f>590000+982800+350000+4746090+5000+15000+25000</f>
        <v>6713890</v>
      </c>
      <c r="B528" s="56">
        <v>1628102.39</v>
      </c>
      <c r="C528" t="s">
        <v>116</v>
      </c>
      <c r="D528" s="63" t="s">
        <v>135</v>
      </c>
      <c r="E528" s="82">
        <v>288487.29</v>
      </c>
    </row>
    <row r="529" spans="1:5" ht="21.75">
      <c r="A529" s="56">
        <v>4124000</v>
      </c>
      <c r="B529" s="56">
        <v>0</v>
      </c>
      <c r="C529" t="s">
        <v>19</v>
      </c>
      <c r="D529" s="63" t="s">
        <v>136</v>
      </c>
      <c r="E529" s="56">
        <v>0</v>
      </c>
    </row>
    <row r="530" spans="1:5" ht="24.75" customHeight="1" thickBot="1">
      <c r="A530" s="57">
        <f>SUM(A523:A529)</f>
        <v>10982890</v>
      </c>
      <c r="B530" s="57">
        <f>SUM(B523:B529)</f>
        <v>1642782.9</v>
      </c>
      <c r="C530" s="53"/>
      <c r="D530" s="45"/>
      <c r="E530" s="61">
        <f>SUM(E523:E529)</f>
        <v>292530.02999999997</v>
      </c>
    </row>
    <row r="531" spans="2:5" ht="22.5" thickTop="1">
      <c r="B531" s="58">
        <v>0</v>
      </c>
      <c r="C531" t="s">
        <v>28</v>
      </c>
      <c r="D531" s="45"/>
      <c r="E531" s="56"/>
    </row>
    <row r="532" spans="2:5" ht="21.75">
      <c r="B532" s="56">
        <f>5500+E532</f>
        <v>5500</v>
      </c>
      <c r="C532" t="s">
        <v>30</v>
      </c>
      <c r="D532" s="45">
        <v>700</v>
      </c>
      <c r="E532" s="56">
        <v>0</v>
      </c>
    </row>
    <row r="533" spans="2:5" ht="21.75">
      <c r="B533" s="56">
        <v>685183</v>
      </c>
      <c r="C533" s="109" t="s">
        <v>124</v>
      </c>
      <c r="D533" s="110" t="s">
        <v>137</v>
      </c>
      <c r="E533" s="111">
        <v>80100</v>
      </c>
    </row>
    <row r="534" spans="2:5" ht="21.75">
      <c r="B534" s="56">
        <v>0</v>
      </c>
      <c r="C534" t="s">
        <v>123</v>
      </c>
      <c r="D534" s="45">
        <v>600</v>
      </c>
      <c r="E534" s="56">
        <v>0</v>
      </c>
    </row>
    <row r="535" spans="2:5" ht="21.75">
      <c r="B535" s="56">
        <v>0</v>
      </c>
      <c r="C535" t="s">
        <v>117</v>
      </c>
      <c r="D535" s="45">
        <v>602</v>
      </c>
      <c r="E535" s="56">
        <v>0</v>
      </c>
    </row>
    <row r="536" spans="2:5" ht="21.75">
      <c r="B536" s="56">
        <v>193000.73</v>
      </c>
      <c r="C536" s="109" t="s">
        <v>118</v>
      </c>
      <c r="D536" s="112">
        <v>900</v>
      </c>
      <c r="E536" s="111">
        <v>29669.46</v>
      </c>
    </row>
    <row r="537" spans="1:5" ht="21.75">
      <c r="A537" s="200"/>
      <c r="B537" s="201">
        <f>359144+191000</f>
        <v>550144</v>
      </c>
      <c r="C537" s="200" t="s">
        <v>101</v>
      </c>
      <c r="D537" s="202">
        <v>704</v>
      </c>
      <c r="E537" s="201">
        <v>191000</v>
      </c>
    </row>
    <row r="538" spans="2:5" ht="21.75">
      <c r="B538" s="56">
        <v>7210</v>
      </c>
      <c r="C538" t="s">
        <v>139</v>
      </c>
      <c r="D538" s="63" t="s">
        <v>138</v>
      </c>
      <c r="E538" s="56">
        <v>7210</v>
      </c>
    </row>
    <row r="539" spans="2:5" ht="21.75">
      <c r="B539" s="56"/>
      <c r="D539" s="45"/>
      <c r="E539" s="56"/>
    </row>
    <row r="540" spans="2:5" ht="18" customHeight="1">
      <c r="B540" s="82" t="s">
        <v>219</v>
      </c>
      <c r="C540" s="53"/>
      <c r="D540" s="45"/>
      <c r="E540" s="56"/>
    </row>
    <row r="541" spans="2:5" ht="18" customHeight="1">
      <c r="B541" s="56"/>
      <c r="C541" s="53"/>
      <c r="D541" s="45"/>
      <c r="E541" s="56"/>
    </row>
    <row r="542" spans="2:5" ht="18" customHeight="1">
      <c r="B542" s="56">
        <f>+B531+B532+B533+B534+B535+B536+B537+B538</f>
        <v>1441037.73</v>
      </c>
      <c r="D542" s="45"/>
      <c r="E542" s="56">
        <f>+E531+E532+E533+E534+E535+E536+E537+E538</f>
        <v>307979.45999999996</v>
      </c>
    </row>
    <row r="543" spans="2:5" ht="18" customHeight="1">
      <c r="B543" s="60">
        <f>SUM(B530+B542)</f>
        <v>3083820.63</v>
      </c>
      <c r="D543" s="46"/>
      <c r="E543" s="60">
        <f>SUM(E530+E542)</f>
        <v>600509.49</v>
      </c>
    </row>
    <row r="544" spans="2:5" ht="18" customHeight="1">
      <c r="B544" s="177"/>
      <c r="D544" s="178"/>
      <c r="E544" s="177"/>
    </row>
    <row r="545" spans="2:5" ht="18" customHeight="1">
      <c r="B545" s="177"/>
      <c r="D545" s="178"/>
      <c r="E545" s="177"/>
    </row>
    <row r="546" spans="2:5" ht="21.75">
      <c r="B546" s="177"/>
      <c r="D546" s="178"/>
      <c r="E546" s="177"/>
    </row>
    <row r="547" spans="2:5" ht="24" customHeight="1">
      <c r="B547" s="177"/>
      <c r="D547" s="178"/>
      <c r="E547" s="177"/>
    </row>
    <row r="548" spans="2:5" ht="23.25" customHeight="1">
      <c r="B548" s="177"/>
      <c r="D548" s="178"/>
      <c r="E548" s="177"/>
    </row>
    <row r="549" spans="2:5" ht="21.75">
      <c r="B549" s="207"/>
      <c r="C549" s="200"/>
      <c r="D549" s="178"/>
      <c r="E549" s="177"/>
    </row>
    <row r="550" spans="1:5" ht="21.75">
      <c r="A550" s="47" t="s">
        <v>102</v>
      </c>
      <c r="D550" s="427" t="s">
        <v>195</v>
      </c>
      <c r="E550" s="427"/>
    </row>
    <row r="551" ht="21.75">
      <c r="A551" s="47" t="s">
        <v>103</v>
      </c>
    </row>
    <row r="552" spans="1:5" ht="23.25">
      <c r="A552" s="456" t="s">
        <v>104</v>
      </c>
      <c r="B552" s="456"/>
      <c r="C552" s="456"/>
      <c r="D552" s="456"/>
      <c r="E552" s="456"/>
    </row>
    <row r="553" spans="1:5" ht="21.75">
      <c r="A553" s="428" t="s">
        <v>227</v>
      </c>
      <c r="B553" s="428"/>
      <c r="C553" s="428"/>
      <c r="D553" s="428"/>
      <c r="E553" s="428"/>
    </row>
    <row r="554" spans="1:5" ht="21.75">
      <c r="A554" s="425" t="s">
        <v>105</v>
      </c>
      <c r="B554" s="426"/>
      <c r="C554" s="48"/>
      <c r="D554" s="48"/>
      <c r="E554" s="49" t="s">
        <v>111</v>
      </c>
    </row>
    <row r="555" spans="1:5" ht="21.75">
      <c r="A555" s="48" t="s">
        <v>106</v>
      </c>
      <c r="B555" s="48" t="s">
        <v>108</v>
      </c>
      <c r="C555" s="50" t="s">
        <v>2</v>
      </c>
      <c r="D555" s="50" t="s">
        <v>109</v>
      </c>
      <c r="E555" s="48" t="s">
        <v>108</v>
      </c>
    </row>
    <row r="556" spans="1:5" ht="22.5" thickBot="1">
      <c r="A556" s="51" t="s">
        <v>107</v>
      </c>
      <c r="B556" s="51" t="s">
        <v>107</v>
      </c>
      <c r="C556" s="51"/>
      <c r="D556" s="51" t="s">
        <v>110</v>
      </c>
      <c r="E556" s="51" t="s">
        <v>107</v>
      </c>
    </row>
    <row r="557" spans="1:5" ht="22.5" thickTop="1">
      <c r="A557" s="54"/>
      <c r="B557" s="62">
        <f>10373005.25-42408.95</f>
        <v>10330596.3</v>
      </c>
      <c r="C557" s="52" t="s">
        <v>52</v>
      </c>
      <c r="D557" s="45"/>
      <c r="E557" s="181">
        <v>8364753.22</v>
      </c>
    </row>
    <row r="558" spans="1:5" ht="21.75">
      <c r="A558" s="55"/>
      <c r="B558" s="55"/>
      <c r="C558" s="59" t="s">
        <v>119</v>
      </c>
      <c r="D558" s="45"/>
      <c r="E558" s="56"/>
    </row>
    <row r="559" spans="1:5" ht="21.75">
      <c r="A559" s="56">
        <f>40000+25000+2000</f>
        <v>67000</v>
      </c>
      <c r="B559" s="56">
        <f>37215.03+E559</f>
        <v>69393.63</v>
      </c>
      <c r="C559" t="s">
        <v>112</v>
      </c>
      <c r="D559" s="63" t="s">
        <v>130</v>
      </c>
      <c r="E559" s="82">
        <v>32178.6</v>
      </c>
    </row>
    <row r="560" spans="1:5" ht="21.75">
      <c r="A560" s="56"/>
      <c r="B560" s="56">
        <f>41309.6+E560</f>
        <v>44679.6</v>
      </c>
      <c r="C560" t="s">
        <v>113</v>
      </c>
      <c r="D560" s="63" t="s">
        <v>131</v>
      </c>
      <c r="E560" s="56">
        <v>3370</v>
      </c>
    </row>
    <row r="561" spans="1:5" ht="21.75">
      <c r="A561" s="56">
        <f>3000+5000</f>
        <v>8000</v>
      </c>
      <c r="B561" s="56">
        <v>0</v>
      </c>
      <c r="C561" t="s">
        <v>114</v>
      </c>
      <c r="D561" s="63" t="s">
        <v>132</v>
      </c>
      <c r="E561" s="56">
        <v>0</v>
      </c>
    </row>
    <row r="562" spans="1:5" ht="21.75">
      <c r="A562" s="56"/>
      <c r="B562" s="56">
        <v>800</v>
      </c>
      <c r="C562" t="s">
        <v>115</v>
      </c>
      <c r="D562" s="63" t="s">
        <v>133</v>
      </c>
      <c r="E562" s="56">
        <v>0</v>
      </c>
    </row>
    <row r="563" spans="1:5" ht="21.75">
      <c r="A563" s="56">
        <v>70000</v>
      </c>
      <c r="B563" s="56">
        <f>4000+E563+12000</f>
        <v>36917.15</v>
      </c>
      <c r="C563" t="s">
        <v>48</v>
      </c>
      <c r="D563" s="63" t="s">
        <v>134</v>
      </c>
      <c r="E563" s="56">
        <v>20917.15</v>
      </c>
    </row>
    <row r="564" spans="1:5" ht="21.75">
      <c r="A564" s="56">
        <f>590000+982800+350000+4746090+5000+15000+25000</f>
        <v>6713890</v>
      </c>
      <c r="B564" s="56">
        <f>1912829.69+E564</f>
        <v>2530769.04</v>
      </c>
      <c r="C564" t="s">
        <v>116</v>
      </c>
      <c r="D564" s="63" t="s">
        <v>135</v>
      </c>
      <c r="E564" s="82">
        <v>617939.35</v>
      </c>
    </row>
    <row r="565" spans="1:5" ht="21.75">
      <c r="A565" s="56">
        <v>4124000</v>
      </c>
      <c r="B565" s="56">
        <f>+E565</f>
        <v>1958582</v>
      </c>
      <c r="C565" t="s">
        <v>19</v>
      </c>
      <c r="D565" s="63" t="s">
        <v>136</v>
      </c>
      <c r="E565" s="56">
        <v>1958582</v>
      </c>
    </row>
    <row r="566" spans="1:5" ht="22.5" thickBot="1">
      <c r="A566" s="57">
        <f>SUM(A559:A565)</f>
        <v>10982890</v>
      </c>
      <c r="B566" s="57">
        <f>SUM(B559:B565)</f>
        <v>4641141.42</v>
      </c>
      <c r="C566" s="53"/>
      <c r="D566" s="45"/>
      <c r="E566" s="61">
        <f>SUM(E559:E565)</f>
        <v>2632987.1</v>
      </c>
    </row>
    <row r="567" spans="2:5" ht="22.5" thickTop="1">
      <c r="B567" s="58">
        <f>+E567</f>
        <v>0</v>
      </c>
      <c r="C567" t="s">
        <v>28</v>
      </c>
      <c r="D567" s="45"/>
      <c r="E567" s="56"/>
    </row>
    <row r="568" spans="2:5" ht="21.75">
      <c r="B568" s="56">
        <f>5500+E568</f>
        <v>5500</v>
      </c>
      <c r="C568" t="s">
        <v>30</v>
      </c>
      <c r="D568" s="45">
        <v>700</v>
      </c>
      <c r="E568" s="56">
        <v>0</v>
      </c>
    </row>
    <row r="569" spans="2:5" ht="21.75">
      <c r="B569" s="56">
        <f>605083+80100+696048+E569</f>
        <v>1719031</v>
      </c>
      <c r="C569" s="109" t="s">
        <v>124</v>
      </c>
      <c r="D569" s="110" t="s">
        <v>137</v>
      </c>
      <c r="E569" s="111">
        <v>337800</v>
      </c>
    </row>
    <row r="570" spans="2:5" ht="21.75">
      <c r="B570" s="56">
        <f>+E570</f>
        <v>0</v>
      </c>
      <c r="C570" t="s">
        <v>123</v>
      </c>
      <c r="D570" s="45">
        <v>600</v>
      </c>
      <c r="E570" s="56">
        <v>0</v>
      </c>
    </row>
    <row r="571" spans="2:5" ht="21.75">
      <c r="B571" s="56">
        <f>+E571</f>
        <v>0</v>
      </c>
      <c r="C571" t="s">
        <v>117</v>
      </c>
      <c r="D571" s="45">
        <v>602</v>
      </c>
      <c r="E571" s="56">
        <v>0</v>
      </c>
    </row>
    <row r="572" spans="2:5" ht="21.75">
      <c r="B572" s="56">
        <f>215862.9+5888+E572</f>
        <v>236586.77</v>
      </c>
      <c r="C572" s="109" t="s">
        <v>118</v>
      </c>
      <c r="D572" s="112">
        <v>900</v>
      </c>
      <c r="E572" s="111">
        <v>14835.87</v>
      </c>
    </row>
    <row r="573" spans="1:5" ht="21.75">
      <c r="A573" s="200"/>
      <c r="B573" s="201">
        <f>359144+191000</f>
        <v>550144</v>
      </c>
      <c r="C573" s="200" t="s">
        <v>101</v>
      </c>
      <c r="D573" s="202">
        <v>704</v>
      </c>
      <c r="E573" s="201">
        <v>0</v>
      </c>
    </row>
    <row r="574" spans="2:5" ht="21.75">
      <c r="B574" s="56">
        <f>7210+E574</f>
        <v>172210</v>
      </c>
      <c r="C574" t="s">
        <v>139</v>
      </c>
      <c r="D574" s="63" t="s">
        <v>138</v>
      </c>
      <c r="E574" s="56">
        <v>165000</v>
      </c>
    </row>
    <row r="575" spans="2:5" ht="21.75">
      <c r="B575" s="56"/>
      <c r="D575" s="45"/>
      <c r="E575" s="56"/>
    </row>
    <row r="576" spans="2:5" ht="21.75">
      <c r="B576" s="82" t="s">
        <v>219</v>
      </c>
      <c r="C576" s="53"/>
      <c r="D576" s="45"/>
      <c r="E576" s="56"/>
    </row>
    <row r="577" spans="2:5" ht="21.75">
      <c r="B577" s="56"/>
      <c r="C577" s="53"/>
      <c r="D577" s="45"/>
      <c r="E577" s="56"/>
    </row>
    <row r="578" spans="2:5" ht="21.75">
      <c r="B578" s="56">
        <f>+B567+B568+B569+B570+B571+B572+B573+B574</f>
        <v>2683471.77</v>
      </c>
      <c r="D578" s="45"/>
      <c r="E578" s="56">
        <f>+E567+E568+E569+E570+E571+E572+E573+E574</f>
        <v>517635.87</v>
      </c>
    </row>
    <row r="579" spans="2:5" ht="21.75">
      <c r="B579" s="60">
        <f>SUM(B566+B578)</f>
        <v>7324613.1899999995</v>
      </c>
      <c r="D579" s="46"/>
      <c r="E579" s="60">
        <f>SUM(E566+E578)</f>
        <v>3150622.97</v>
      </c>
    </row>
    <row r="580" spans="2:5" ht="21.75">
      <c r="B580" s="177"/>
      <c r="D580" s="178"/>
      <c r="E580" s="177"/>
    </row>
    <row r="581" spans="2:5" ht="21.75">
      <c r="B581" s="177"/>
      <c r="D581" s="178"/>
      <c r="E581" s="177"/>
    </row>
    <row r="582" spans="2:5" ht="21.75">
      <c r="B582" s="177"/>
      <c r="D582" s="178"/>
      <c r="E582" s="177"/>
    </row>
    <row r="583" spans="2:5" ht="21.75">
      <c r="B583" s="177"/>
      <c r="D583" s="178"/>
      <c r="E583" s="177"/>
    </row>
    <row r="584" spans="2:5" ht="38.25">
      <c r="B584" s="203"/>
      <c r="C584" s="200"/>
      <c r="D584" s="178"/>
      <c r="E584" s="177"/>
    </row>
    <row r="585" spans="2:5" ht="38.25">
      <c r="B585" s="203"/>
      <c r="C585" s="200"/>
      <c r="D585" s="178"/>
      <c r="E585" s="177"/>
    </row>
    <row r="586" spans="1:5" ht="21.75">
      <c r="A586" s="424">
        <v>2</v>
      </c>
      <c r="B586" s="424"/>
      <c r="C586" s="424"/>
      <c r="D586" s="424"/>
      <c r="E586" s="424"/>
    </row>
    <row r="587" spans="1:5" ht="21.75">
      <c r="A587" s="425" t="s">
        <v>105</v>
      </c>
      <c r="B587" s="426"/>
      <c r="C587" s="48"/>
      <c r="D587" s="48"/>
      <c r="E587" s="49" t="s">
        <v>111</v>
      </c>
    </row>
    <row r="588" spans="1:5" ht="21.75">
      <c r="A588" s="48" t="s">
        <v>106</v>
      </c>
      <c r="B588" s="48" t="s">
        <v>108</v>
      </c>
      <c r="C588" s="50" t="s">
        <v>2</v>
      </c>
      <c r="D588" s="50" t="s">
        <v>109</v>
      </c>
      <c r="E588" s="48" t="s">
        <v>108</v>
      </c>
    </row>
    <row r="589" spans="1:5" ht="22.5" thickBot="1">
      <c r="A589" s="51" t="s">
        <v>107</v>
      </c>
      <c r="B589" s="51" t="s">
        <v>107</v>
      </c>
      <c r="C589" s="51"/>
      <c r="D589" s="51" t="s">
        <v>110</v>
      </c>
      <c r="E589" s="51" t="s">
        <v>107</v>
      </c>
    </row>
    <row r="590" spans="1:5" ht="22.5" thickTop="1">
      <c r="A590" s="55"/>
      <c r="B590" s="55"/>
      <c r="C590" s="59" t="s">
        <v>120</v>
      </c>
      <c r="D590" s="45"/>
      <c r="E590" s="56"/>
    </row>
    <row r="591" spans="1:5" ht="21.75">
      <c r="A591" s="56">
        <v>400000</v>
      </c>
      <c r="B591" s="56">
        <f>259680+E591</f>
        <v>458268</v>
      </c>
      <c r="C591" t="s">
        <v>22</v>
      </c>
      <c r="D591" s="65" t="s">
        <v>141</v>
      </c>
      <c r="E591" s="56">
        <f>79088+86500+33000</f>
        <v>198588</v>
      </c>
    </row>
    <row r="592" spans="1:5" ht="21.75">
      <c r="A592" s="56">
        <v>1495307</v>
      </c>
      <c r="B592" s="56">
        <f>594495.16+E592</f>
        <v>721645.16</v>
      </c>
      <c r="C592" t="s">
        <v>12</v>
      </c>
      <c r="D592" s="45">
        <v>100</v>
      </c>
      <c r="E592" s="56">
        <v>127150</v>
      </c>
    </row>
    <row r="593" spans="1:5" ht="21.75">
      <c r="A593" s="56">
        <v>169890</v>
      </c>
      <c r="B593" s="56">
        <f>73700+E593</f>
        <v>88440</v>
      </c>
      <c r="C593" t="s">
        <v>13</v>
      </c>
      <c r="D593" s="45">
        <v>120</v>
      </c>
      <c r="E593" s="56">
        <v>14740</v>
      </c>
    </row>
    <row r="594" spans="1:5" ht="21.75">
      <c r="A594" s="56">
        <v>114240</v>
      </c>
      <c r="B594" s="56">
        <f>24400+E594</f>
        <v>29280</v>
      </c>
      <c r="C594" t="s">
        <v>14</v>
      </c>
      <c r="D594" s="45">
        <v>130</v>
      </c>
      <c r="E594" s="56">
        <v>4880</v>
      </c>
    </row>
    <row r="595" spans="1:5" ht="21.75">
      <c r="A595" s="56">
        <v>1188030</v>
      </c>
      <c r="B595" s="56">
        <f>430125+E595</f>
        <v>515838</v>
      </c>
      <c r="C595" t="s">
        <v>15</v>
      </c>
      <c r="D595" s="45">
        <v>200</v>
      </c>
      <c r="E595" s="56">
        <v>85713</v>
      </c>
    </row>
    <row r="596" spans="1:5" ht="21.75">
      <c r="A596" s="56">
        <v>1546708</v>
      </c>
      <c r="B596" s="56">
        <f>246879.59+E596</f>
        <v>136547.59</v>
      </c>
      <c r="C596" t="s">
        <v>16</v>
      </c>
      <c r="D596" s="45">
        <v>250</v>
      </c>
      <c r="E596" s="56">
        <f>54668-165000</f>
        <v>-110332</v>
      </c>
    </row>
    <row r="597" spans="1:5" ht="21.75">
      <c r="A597" s="56">
        <v>234069</v>
      </c>
      <c r="B597" s="56">
        <f>33634.7+E597</f>
        <v>34914.7</v>
      </c>
      <c r="C597" t="s">
        <v>17</v>
      </c>
      <c r="D597" s="45">
        <v>270</v>
      </c>
      <c r="E597" s="56">
        <v>1280</v>
      </c>
    </row>
    <row r="598" spans="1:5" ht="21.75">
      <c r="A598" s="56">
        <v>68806</v>
      </c>
      <c r="B598" s="56">
        <f>25296+E598</f>
        <v>29255.52</v>
      </c>
      <c r="C598" t="s">
        <v>18</v>
      </c>
      <c r="D598" s="45">
        <v>300</v>
      </c>
      <c r="E598" s="56">
        <v>3959.52</v>
      </c>
    </row>
    <row r="599" spans="1:5" ht="21.75">
      <c r="A599" s="56">
        <v>675040</v>
      </c>
      <c r="B599" s="56">
        <f>38000+E599</f>
        <v>41264</v>
      </c>
      <c r="C599" t="s">
        <v>19</v>
      </c>
      <c r="D599" s="45">
        <v>400</v>
      </c>
      <c r="E599" s="56">
        <v>3264</v>
      </c>
    </row>
    <row r="600" spans="1:5" ht="21.75">
      <c r="A600" s="56">
        <v>463800</v>
      </c>
      <c r="B600" s="56">
        <v>45881.59</v>
      </c>
      <c r="C600" t="s">
        <v>20</v>
      </c>
      <c r="D600" s="45">
        <v>450</v>
      </c>
      <c r="E600" s="56">
        <v>0</v>
      </c>
    </row>
    <row r="601" spans="1:5" ht="21.75">
      <c r="A601" s="56">
        <f>2029000+4124000</f>
        <v>6153000</v>
      </c>
      <c r="B601" s="56">
        <v>0</v>
      </c>
      <c r="C601" t="s">
        <v>21</v>
      </c>
      <c r="D601" s="45">
        <v>500</v>
      </c>
      <c r="E601" s="56">
        <v>0</v>
      </c>
    </row>
    <row r="602" spans="1:5" ht="21.75">
      <c r="A602" s="56"/>
      <c r="B602" s="56">
        <f>36000+E602</f>
        <v>43000</v>
      </c>
      <c r="C602" t="s">
        <v>121</v>
      </c>
      <c r="D602" s="45">
        <v>550</v>
      </c>
      <c r="E602" s="56">
        <v>7000</v>
      </c>
    </row>
    <row r="603" spans="1:5" ht="30" thickBot="1">
      <c r="A603" s="57">
        <f>SUM(A591:A601)</f>
        <v>12508890</v>
      </c>
      <c r="B603" s="57">
        <f>SUM(B591:B602)</f>
        <v>2144334.56</v>
      </c>
      <c r="C603" s="176"/>
      <c r="D603" s="45"/>
      <c r="E603" s="57">
        <f>SUM(E591:E602)</f>
        <v>336242.52</v>
      </c>
    </row>
    <row r="604" spans="2:5" ht="22.5" thickTop="1">
      <c r="B604" s="58">
        <v>75000</v>
      </c>
      <c r="C604" t="s">
        <v>28</v>
      </c>
      <c r="D604" s="45"/>
      <c r="E604" s="56">
        <v>0</v>
      </c>
    </row>
    <row r="605" spans="1:5" ht="21.75">
      <c r="A605" s="183"/>
      <c r="B605" s="184">
        <v>467932</v>
      </c>
      <c r="C605" s="185" t="s">
        <v>30</v>
      </c>
      <c r="D605" s="186">
        <v>700</v>
      </c>
      <c r="E605" s="184">
        <v>0</v>
      </c>
    </row>
    <row r="606" spans="1:5" ht="21.75">
      <c r="A606" s="200"/>
      <c r="B606" s="201">
        <f>866934+E606</f>
        <v>945622</v>
      </c>
      <c r="C606" s="204" t="s">
        <v>124</v>
      </c>
      <c r="D606" s="205">
        <v>3002</v>
      </c>
      <c r="E606" s="206">
        <v>78688</v>
      </c>
    </row>
    <row r="607" spans="2:5" ht="21.75">
      <c r="B607" s="182">
        <f>1644462.52+E607</f>
        <v>1871680.04</v>
      </c>
      <c r="C607" t="s">
        <v>122</v>
      </c>
      <c r="D607" s="45">
        <v>600</v>
      </c>
      <c r="E607" s="56">
        <v>227217.52</v>
      </c>
    </row>
    <row r="608" spans="2:5" ht="21.75">
      <c r="B608" s="182">
        <v>310110</v>
      </c>
      <c r="C608" t="s">
        <v>117</v>
      </c>
      <c r="D608" s="45">
        <v>602</v>
      </c>
      <c r="E608" s="56">
        <v>0</v>
      </c>
    </row>
    <row r="609" spans="2:5" ht="21.75">
      <c r="B609" s="56">
        <f>417158.74+E609</f>
        <v>473723.27999999997</v>
      </c>
      <c r="C609" s="109" t="s">
        <v>118</v>
      </c>
      <c r="D609" s="112">
        <v>900</v>
      </c>
      <c r="E609" s="111">
        <v>56564.54</v>
      </c>
    </row>
    <row r="610" spans="1:5" ht="21.75">
      <c r="A610" s="196"/>
      <c r="B610" s="197">
        <v>550144</v>
      </c>
      <c r="C610" s="198" t="s">
        <v>101</v>
      </c>
      <c r="D610" s="199">
        <v>704</v>
      </c>
      <c r="E610" s="197">
        <v>0</v>
      </c>
    </row>
    <row r="611" spans="2:5" ht="21.75">
      <c r="B611" s="56">
        <f>+E611</f>
        <v>33000</v>
      </c>
      <c r="C611" t="s">
        <v>140</v>
      </c>
      <c r="D611" s="63" t="s">
        <v>138</v>
      </c>
      <c r="E611" s="56">
        <v>33000</v>
      </c>
    </row>
    <row r="612" spans="2:5" ht="21.75">
      <c r="B612" s="56"/>
      <c r="D612" s="45"/>
      <c r="E612" s="56"/>
    </row>
    <row r="613" spans="2:5" ht="21.75">
      <c r="B613" s="60">
        <f>SUM(B604:B612)</f>
        <v>4727211.32</v>
      </c>
      <c r="D613" s="45"/>
      <c r="E613" s="60">
        <f>SUM(E604:E612)</f>
        <v>395470.06</v>
      </c>
    </row>
    <row r="614" spans="2:5" ht="21.75">
      <c r="B614" s="60">
        <f>+B603+B613</f>
        <v>6871545.880000001</v>
      </c>
      <c r="C614" s="44" t="s">
        <v>125</v>
      </c>
      <c r="D614" s="45"/>
      <c r="E614" s="60">
        <f>+E603+E613</f>
        <v>731712.5800000001</v>
      </c>
    </row>
    <row r="615" spans="2:5" ht="21.75">
      <c r="B615" s="56"/>
      <c r="C615" s="32" t="s">
        <v>126</v>
      </c>
      <c r="D615" s="45"/>
      <c r="E615" s="56"/>
    </row>
    <row r="616" spans="2:5" ht="21.75">
      <c r="B616" s="56">
        <f>+B579-B614</f>
        <v>453067.30999999866</v>
      </c>
      <c r="C616" s="44" t="s">
        <v>127</v>
      </c>
      <c r="D616" s="45"/>
      <c r="E616" s="56">
        <f>SUM(E579-E614)</f>
        <v>2418910.39</v>
      </c>
    </row>
    <row r="617" spans="2:5" ht="21.75">
      <c r="B617" s="56"/>
      <c r="C617" s="32" t="s">
        <v>128</v>
      </c>
      <c r="D617" s="45"/>
      <c r="E617" s="56"/>
    </row>
    <row r="618" spans="2:5" ht="21.75">
      <c r="B618" s="60">
        <f>SUM(B557+B579-B614)</f>
        <v>10783663.610000001</v>
      </c>
      <c r="C618" s="44" t="s">
        <v>129</v>
      </c>
      <c r="D618" s="46"/>
      <c r="E618" s="60">
        <f>+E557+E579-E614</f>
        <v>10783663.61</v>
      </c>
    </row>
    <row r="619" spans="2:5" ht="21.75">
      <c r="B619" s="177"/>
      <c r="C619" s="44"/>
      <c r="D619" s="178"/>
      <c r="E619" s="177"/>
    </row>
    <row r="620" ht="21.75">
      <c r="A620" t="s">
        <v>234</v>
      </c>
    </row>
    <row r="621" spans="1:4" ht="21.75">
      <c r="A621" t="s">
        <v>144</v>
      </c>
      <c r="C621" t="s">
        <v>231</v>
      </c>
      <c r="D621" t="s">
        <v>233</v>
      </c>
    </row>
    <row r="622" ht="21.75">
      <c r="C622" t="s">
        <v>232</v>
      </c>
    </row>
    <row r="623" spans="1:5" ht="21.75">
      <c r="A623" s="47" t="s">
        <v>102</v>
      </c>
      <c r="D623" s="427" t="s">
        <v>195</v>
      </c>
      <c r="E623" s="427"/>
    </row>
    <row r="624" ht="21.75">
      <c r="A624" s="47" t="s">
        <v>103</v>
      </c>
    </row>
    <row r="625" spans="1:5" ht="23.25">
      <c r="A625" s="456" t="s">
        <v>104</v>
      </c>
      <c r="B625" s="456"/>
      <c r="C625" s="456"/>
      <c r="D625" s="456"/>
      <c r="E625" s="456"/>
    </row>
    <row r="626" spans="1:5" ht="21.75">
      <c r="A626" s="428" t="s">
        <v>235</v>
      </c>
      <c r="B626" s="428"/>
      <c r="C626" s="428"/>
      <c r="D626" s="428"/>
      <c r="E626" s="428"/>
    </row>
    <row r="627" spans="1:5" ht="21.75">
      <c r="A627" s="425" t="s">
        <v>105</v>
      </c>
      <c r="B627" s="426"/>
      <c r="C627" s="48"/>
      <c r="D627" s="48"/>
      <c r="E627" s="49" t="s">
        <v>111</v>
      </c>
    </row>
    <row r="628" spans="1:5" ht="21.75">
      <c r="A628" s="48" t="s">
        <v>106</v>
      </c>
      <c r="B628" s="48" t="s">
        <v>108</v>
      </c>
      <c r="C628" s="50" t="s">
        <v>2</v>
      </c>
      <c r="D628" s="50" t="s">
        <v>109</v>
      </c>
      <c r="E628" s="48" t="s">
        <v>108</v>
      </c>
    </row>
    <row r="629" spans="1:5" ht="22.5" thickBot="1">
      <c r="A629" s="51" t="s">
        <v>107</v>
      </c>
      <c r="B629" s="51" t="s">
        <v>107</v>
      </c>
      <c r="C629" s="51"/>
      <c r="D629" s="51" t="s">
        <v>110</v>
      </c>
      <c r="E629" s="51" t="s">
        <v>107</v>
      </c>
    </row>
    <row r="630" spans="1:5" ht="22.5" thickTop="1">
      <c r="A630" s="54"/>
      <c r="B630" s="62">
        <f>10373005.25-42408.95</f>
        <v>10330596.3</v>
      </c>
      <c r="C630" s="52" t="s">
        <v>52</v>
      </c>
      <c r="D630" s="45"/>
      <c r="E630" s="181">
        <v>10783663.61</v>
      </c>
    </row>
    <row r="631" spans="1:5" ht="21.75">
      <c r="A631" s="55"/>
      <c r="B631" s="55"/>
      <c r="C631" s="59" t="s">
        <v>119</v>
      </c>
      <c r="D631" s="45"/>
      <c r="E631" s="56"/>
    </row>
    <row r="632" spans="1:5" ht="21.75">
      <c r="A632" s="56">
        <f>40000+25000+2000</f>
        <v>67000</v>
      </c>
      <c r="B632" s="56">
        <v>83340.93</v>
      </c>
      <c r="C632" t="s">
        <v>112</v>
      </c>
      <c r="D632" s="63" t="s">
        <v>130</v>
      </c>
      <c r="E632" s="82">
        <v>13947.3</v>
      </c>
    </row>
    <row r="633" spans="1:5" ht="21.75">
      <c r="A633" s="56"/>
      <c r="B633" s="56">
        <v>44679.6</v>
      </c>
      <c r="C633" t="s">
        <v>113</v>
      </c>
      <c r="D633" s="63" t="s">
        <v>131</v>
      </c>
      <c r="E633" s="56">
        <v>0</v>
      </c>
    </row>
    <row r="634" spans="1:5" ht="21.75">
      <c r="A634" s="56">
        <f>3000+5000</f>
        <v>8000</v>
      </c>
      <c r="B634" s="56">
        <v>0</v>
      </c>
      <c r="C634" t="s">
        <v>114</v>
      </c>
      <c r="D634" s="63" t="s">
        <v>132</v>
      </c>
      <c r="E634" s="56">
        <v>0</v>
      </c>
    </row>
    <row r="635" spans="1:5" ht="21.75">
      <c r="A635" s="56"/>
      <c r="B635" s="56">
        <f>25500-24700</f>
        <v>800</v>
      </c>
      <c r="C635" t="s">
        <v>115</v>
      </c>
      <c r="D635" s="63" t="s">
        <v>133</v>
      </c>
      <c r="E635" s="56">
        <v>0</v>
      </c>
    </row>
    <row r="636" spans="1:5" ht="21.75">
      <c r="A636" s="56">
        <v>70000</v>
      </c>
      <c r="B636" s="56">
        <f>36917.15+E636</f>
        <v>61617.15</v>
      </c>
      <c r="C636" t="s">
        <v>48</v>
      </c>
      <c r="D636" s="63" t="s">
        <v>134</v>
      </c>
      <c r="E636" s="56">
        <v>24700</v>
      </c>
    </row>
    <row r="637" spans="1:5" ht="21.75">
      <c r="A637" s="56">
        <f>590000+982800+350000+4746090+5000+15000+25000</f>
        <v>6713890</v>
      </c>
      <c r="B637" s="56">
        <v>2559453.04</v>
      </c>
      <c r="C637" t="s">
        <v>116</v>
      </c>
      <c r="D637" s="63" t="s">
        <v>135</v>
      </c>
      <c r="E637" s="82">
        <v>28684</v>
      </c>
    </row>
    <row r="638" spans="1:5" ht="21.75">
      <c r="A638" s="56">
        <v>4124000</v>
      </c>
      <c r="B638" s="56">
        <v>1958582</v>
      </c>
      <c r="C638" t="s">
        <v>19</v>
      </c>
      <c r="D638" s="63" t="s">
        <v>136</v>
      </c>
      <c r="E638" s="56">
        <v>0</v>
      </c>
    </row>
    <row r="639" spans="1:5" ht="22.5" thickBot="1">
      <c r="A639" s="57">
        <f>SUM(A632:A638)</f>
        <v>10982890</v>
      </c>
      <c r="B639" s="57">
        <f>SUM(B632:B638)</f>
        <v>4708472.720000001</v>
      </c>
      <c r="C639" s="53"/>
      <c r="D639" s="45"/>
      <c r="E639" s="61">
        <f>SUM(E632:E638)</f>
        <v>67331.3</v>
      </c>
    </row>
    <row r="640" spans="2:5" ht="22.5" thickTop="1">
      <c r="B640" s="58">
        <f>+E640</f>
        <v>0</v>
      </c>
      <c r="C640" t="s">
        <v>28</v>
      </c>
      <c r="D640" s="45"/>
      <c r="E640" s="56"/>
    </row>
    <row r="641" spans="2:5" ht="21.75">
      <c r="B641" s="56">
        <v>5500</v>
      </c>
      <c r="C641" t="s">
        <v>30</v>
      </c>
      <c r="D641" s="45">
        <v>700</v>
      </c>
      <c r="E641" s="56">
        <v>0</v>
      </c>
    </row>
    <row r="642" spans="2:5" ht="21.75">
      <c r="B642" s="56">
        <v>2562406</v>
      </c>
      <c r="C642" s="109" t="s">
        <v>124</v>
      </c>
      <c r="D642" s="110" t="s">
        <v>137</v>
      </c>
      <c r="E642" s="111">
        <v>843375</v>
      </c>
    </row>
    <row r="643" spans="2:5" ht="21.75">
      <c r="B643" s="56">
        <v>0</v>
      </c>
      <c r="C643" t="s">
        <v>123</v>
      </c>
      <c r="D643" s="45">
        <v>600</v>
      </c>
      <c r="E643" s="56">
        <v>0</v>
      </c>
    </row>
    <row r="644" spans="2:5" ht="21.75">
      <c r="B644" s="56">
        <v>0</v>
      </c>
      <c r="C644" t="s">
        <v>117</v>
      </c>
      <c r="D644" s="45">
        <v>602</v>
      </c>
      <c r="E644" s="56">
        <v>0</v>
      </c>
    </row>
    <row r="645" spans="2:5" ht="21.75">
      <c r="B645" s="56">
        <v>260791.16</v>
      </c>
      <c r="C645" s="109" t="s">
        <v>118</v>
      </c>
      <c r="D645" s="112">
        <v>900</v>
      </c>
      <c r="E645" s="111">
        <v>24204.39</v>
      </c>
    </row>
    <row r="646" spans="1:5" ht="21.75">
      <c r="A646" s="200"/>
      <c r="B646" s="201">
        <v>550144</v>
      </c>
      <c r="C646" s="200" t="s">
        <v>101</v>
      </c>
      <c r="D646" s="202">
        <v>704</v>
      </c>
      <c r="E646" s="201"/>
    </row>
    <row r="647" spans="2:5" ht="21.75">
      <c r="B647" s="56">
        <f>172210</f>
        <v>172210</v>
      </c>
      <c r="C647" t="s">
        <v>139</v>
      </c>
      <c r="D647" s="63" t="s">
        <v>138</v>
      </c>
      <c r="E647" s="56"/>
    </row>
    <row r="648" spans="2:5" ht="21.75">
      <c r="B648" s="56"/>
      <c r="D648" s="45"/>
      <c r="E648" s="56"/>
    </row>
    <row r="649" spans="2:5" ht="21.75">
      <c r="B649" s="82" t="s">
        <v>219</v>
      </c>
      <c r="C649" s="53"/>
      <c r="D649" s="45"/>
      <c r="E649" s="56"/>
    </row>
    <row r="650" spans="2:5" ht="21.75">
      <c r="B650" s="56"/>
      <c r="C650" s="53"/>
      <c r="D650" s="45"/>
      <c r="E650" s="56"/>
    </row>
    <row r="651" spans="2:5" ht="21.75">
      <c r="B651" s="56">
        <f>+B640+B641+B642+B643+B644+B645+B646+B647</f>
        <v>3551051.16</v>
      </c>
      <c r="D651" s="45"/>
      <c r="E651" s="56">
        <f>+E640+E641+E642+E643+E644+E645+E646+E647</f>
        <v>867579.39</v>
      </c>
    </row>
    <row r="652" spans="2:5" ht="21.75">
      <c r="B652" s="60">
        <f>SUM(B639+B651)</f>
        <v>8259523.880000001</v>
      </c>
      <c r="D652" s="46"/>
      <c r="E652" s="60">
        <f>SUM(E639+E651)</f>
        <v>934910.6900000001</v>
      </c>
    </row>
    <row r="653" spans="2:5" ht="21.75">
      <c r="B653" s="177"/>
      <c r="D653" s="178"/>
      <c r="E653" s="177"/>
    </row>
    <row r="654" spans="2:5" ht="38.25">
      <c r="B654" s="203"/>
      <c r="C654" s="200"/>
      <c r="D654" s="178"/>
      <c r="E654" s="177"/>
    </row>
    <row r="655" spans="2:5" ht="38.25">
      <c r="B655" s="203"/>
      <c r="C655" s="200"/>
      <c r="D655" s="178"/>
      <c r="E655" s="177"/>
    </row>
    <row r="656" spans="2:5" ht="38.25">
      <c r="B656" s="203"/>
      <c r="C656" s="200"/>
      <c r="D656" s="178"/>
      <c r="E656" s="177"/>
    </row>
    <row r="657" spans="2:5" ht="38.25">
      <c r="B657" s="203"/>
      <c r="C657" s="200"/>
      <c r="D657" s="178"/>
      <c r="E657" s="177"/>
    </row>
    <row r="658" spans="1:5" ht="21.75">
      <c r="A658" s="424">
        <v>2</v>
      </c>
      <c r="B658" s="424"/>
      <c r="C658" s="424"/>
      <c r="D658" s="424"/>
      <c r="E658" s="424"/>
    </row>
    <row r="659" spans="1:5" ht="21.75">
      <c r="A659" s="425" t="s">
        <v>105</v>
      </c>
      <c r="B659" s="426"/>
      <c r="C659" s="48"/>
      <c r="D659" s="48"/>
      <c r="E659" s="49" t="s">
        <v>111</v>
      </c>
    </row>
    <row r="660" spans="1:5" ht="21.75">
      <c r="A660" s="48" t="s">
        <v>106</v>
      </c>
      <c r="B660" s="48" t="s">
        <v>108</v>
      </c>
      <c r="C660" s="50" t="s">
        <v>2</v>
      </c>
      <c r="D660" s="50" t="s">
        <v>109</v>
      </c>
      <c r="E660" s="48" t="s">
        <v>108</v>
      </c>
    </row>
    <row r="661" spans="1:5" ht="22.5" thickBot="1">
      <c r="A661" s="51" t="s">
        <v>107</v>
      </c>
      <c r="B661" s="51" t="s">
        <v>107</v>
      </c>
      <c r="C661" s="51"/>
      <c r="D661" s="51" t="s">
        <v>110</v>
      </c>
      <c r="E661" s="51" t="s">
        <v>107</v>
      </c>
    </row>
    <row r="662" spans="1:5" ht="22.5" thickTop="1">
      <c r="A662" s="55"/>
      <c r="B662" s="55"/>
      <c r="C662" s="59" t="s">
        <v>120</v>
      </c>
      <c r="D662" s="45"/>
      <c r="E662" s="56"/>
    </row>
    <row r="663" spans="1:5" ht="21.75">
      <c r="A663" s="56">
        <v>400000</v>
      </c>
      <c r="B663" s="56">
        <f>458268+E663</f>
        <v>541956</v>
      </c>
      <c r="C663" t="s">
        <v>22</v>
      </c>
      <c r="D663" s="65" t="s">
        <v>141</v>
      </c>
      <c r="E663" s="56">
        <v>83688</v>
      </c>
    </row>
    <row r="664" spans="1:5" ht="21.75">
      <c r="A664" s="56">
        <v>1495307</v>
      </c>
      <c r="B664" s="56">
        <v>850065.16</v>
      </c>
      <c r="C664" t="s">
        <v>12</v>
      </c>
      <c r="D664" s="45">
        <v>100</v>
      </c>
      <c r="E664" s="56">
        <v>128420</v>
      </c>
    </row>
    <row r="665" spans="1:5" ht="21.75">
      <c r="A665" s="56">
        <v>169890</v>
      </c>
      <c r="B665" s="56">
        <v>103500</v>
      </c>
      <c r="C665" t="s">
        <v>13</v>
      </c>
      <c r="D665" s="45">
        <v>120</v>
      </c>
      <c r="E665" s="56">
        <v>15060</v>
      </c>
    </row>
    <row r="666" spans="1:5" ht="21.75">
      <c r="A666" s="56">
        <v>114240</v>
      </c>
      <c r="B666" s="56">
        <v>34160</v>
      </c>
      <c r="C666" t="s">
        <v>14</v>
      </c>
      <c r="D666" s="45">
        <v>130</v>
      </c>
      <c r="E666" s="56">
        <v>4880</v>
      </c>
    </row>
    <row r="667" spans="1:5" ht="21.75">
      <c r="A667" s="56">
        <v>1188030</v>
      </c>
      <c r="B667" s="56">
        <v>595511</v>
      </c>
      <c r="C667" t="s">
        <v>15</v>
      </c>
      <c r="D667" s="45">
        <v>200</v>
      </c>
      <c r="E667" s="56">
        <v>79673</v>
      </c>
    </row>
    <row r="668" spans="1:5" ht="21.75">
      <c r="A668" s="56">
        <v>1546708</v>
      </c>
      <c r="B668" s="201">
        <f>136547.59+E668</f>
        <v>254810.59</v>
      </c>
      <c r="C668" t="s">
        <v>16</v>
      </c>
      <c r="D668" s="45">
        <v>250</v>
      </c>
      <c r="E668" s="56">
        <f>114643+3620</f>
        <v>118263</v>
      </c>
    </row>
    <row r="669" spans="1:5" ht="21.75">
      <c r="A669" s="56">
        <v>234069</v>
      </c>
      <c r="B669" s="56">
        <v>34914.7</v>
      </c>
      <c r="C669" t="s">
        <v>17</v>
      </c>
      <c r="D669" s="45">
        <v>270</v>
      </c>
      <c r="E669" s="56">
        <v>0</v>
      </c>
    </row>
    <row r="670" spans="1:5" ht="21.75">
      <c r="A670" s="56">
        <v>68806</v>
      </c>
      <c r="B670" s="56">
        <v>33599.79</v>
      </c>
      <c r="C670" t="s">
        <v>18</v>
      </c>
      <c r="D670" s="45">
        <v>300</v>
      </c>
      <c r="E670" s="56">
        <v>4344.27</v>
      </c>
    </row>
    <row r="671" spans="1:5" ht="21.75">
      <c r="A671" s="56">
        <v>675040</v>
      </c>
      <c r="B671" s="56">
        <v>41264</v>
      </c>
      <c r="C671" t="s">
        <v>19</v>
      </c>
      <c r="D671" s="45">
        <v>400</v>
      </c>
      <c r="E671" s="56">
        <v>0</v>
      </c>
    </row>
    <row r="672" spans="1:5" ht="21.75">
      <c r="A672" s="56">
        <v>463800</v>
      </c>
      <c r="B672" s="56">
        <v>45881.59</v>
      </c>
      <c r="C672" t="s">
        <v>20</v>
      </c>
      <c r="D672" s="45">
        <v>450</v>
      </c>
      <c r="E672" s="56">
        <v>0</v>
      </c>
    </row>
    <row r="673" spans="1:5" ht="21.75">
      <c r="A673" s="56">
        <f>2029000+4124000</f>
        <v>6153000</v>
      </c>
      <c r="B673" s="56">
        <v>0</v>
      </c>
      <c r="C673" t="s">
        <v>21</v>
      </c>
      <c r="D673" s="45">
        <v>500</v>
      </c>
      <c r="E673" s="56">
        <v>0</v>
      </c>
    </row>
    <row r="674" spans="1:5" ht="21.75">
      <c r="A674" s="56"/>
      <c r="B674" s="56">
        <v>50000</v>
      </c>
      <c r="C674" t="s">
        <v>121</v>
      </c>
      <c r="D674" s="45">
        <v>550</v>
      </c>
      <c r="E674" s="56">
        <v>7000</v>
      </c>
    </row>
    <row r="675" spans="1:5" ht="30" thickBot="1">
      <c r="A675" s="57">
        <f>SUM(A663:A673)</f>
        <v>12508890</v>
      </c>
      <c r="B675" s="57">
        <f>SUM(B663:B674)</f>
        <v>2585662.83</v>
      </c>
      <c r="C675" s="176"/>
      <c r="D675" s="45"/>
      <c r="E675" s="57">
        <f>SUM(E663:E674)</f>
        <v>441328.27</v>
      </c>
    </row>
    <row r="676" spans="2:5" ht="22.5" thickTop="1">
      <c r="B676" s="58">
        <v>75000</v>
      </c>
      <c r="C676" t="s">
        <v>28</v>
      </c>
      <c r="D676" s="45"/>
      <c r="E676" s="56">
        <v>0</v>
      </c>
    </row>
    <row r="677" spans="1:5" ht="21.75">
      <c r="A677" s="183"/>
      <c r="B677" s="184">
        <v>766270</v>
      </c>
      <c r="C677" s="185" t="s">
        <v>30</v>
      </c>
      <c r="D677" s="186">
        <v>700</v>
      </c>
      <c r="E677" s="184">
        <v>298338</v>
      </c>
    </row>
    <row r="678" spans="1:5" ht="21.75">
      <c r="A678" s="200"/>
      <c r="B678" s="201">
        <v>1713933.84</v>
      </c>
      <c r="C678" s="204" t="s">
        <v>124</v>
      </c>
      <c r="D678" s="205">
        <v>3002</v>
      </c>
      <c r="E678" s="206">
        <v>768311.84</v>
      </c>
    </row>
    <row r="679" spans="2:5" ht="21.75">
      <c r="B679" s="182">
        <v>1895540.34</v>
      </c>
      <c r="C679" t="s">
        <v>122</v>
      </c>
      <c r="D679" s="45">
        <v>600</v>
      </c>
      <c r="E679" s="56">
        <v>23860.3</v>
      </c>
    </row>
    <row r="680" spans="2:5" ht="21.75">
      <c r="B680" s="182">
        <v>360208.2</v>
      </c>
      <c r="C680" t="s">
        <v>117</v>
      </c>
      <c r="D680" s="45">
        <v>602</v>
      </c>
      <c r="E680" s="56">
        <v>50098.2</v>
      </c>
    </row>
    <row r="681" spans="2:5" ht="21.75">
      <c r="B681" s="56">
        <v>530065.24</v>
      </c>
      <c r="C681" s="109" t="s">
        <v>118</v>
      </c>
      <c r="D681" s="112">
        <v>900</v>
      </c>
      <c r="E681" s="111">
        <v>56341.96</v>
      </c>
    </row>
    <row r="682" spans="1:5" ht="21.75">
      <c r="A682" s="196"/>
      <c r="B682" s="197">
        <v>550144</v>
      </c>
      <c r="C682" s="198" t="s">
        <v>101</v>
      </c>
      <c r="D682" s="199">
        <v>704</v>
      </c>
      <c r="E682" s="197">
        <v>0</v>
      </c>
    </row>
    <row r="683" spans="2:5" ht="21.75">
      <c r="B683" s="56">
        <f>33000+E683</f>
        <v>40210</v>
      </c>
      <c r="C683" t="s">
        <v>140</v>
      </c>
      <c r="D683" s="63" t="s">
        <v>138</v>
      </c>
      <c r="E683" s="56">
        <v>7210</v>
      </c>
    </row>
    <row r="684" spans="2:5" ht="21.75">
      <c r="B684" s="56"/>
      <c r="D684" s="45"/>
      <c r="E684" s="56"/>
    </row>
    <row r="685" spans="2:5" ht="21.75">
      <c r="B685" s="60">
        <f>SUM(B676:B684)</f>
        <v>5931371.62</v>
      </c>
      <c r="D685" s="45"/>
      <c r="E685" s="60">
        <f>SUM(E676:E684)</f>
        <v>1204160.2999999998</v>
      </c>
    </row>
    <row r="686" spans="2:5" ht="21.75">
      <c r="B686" s="60">
        <f>+B675+B685</f>
        <v>8517034.45</v>
      </c>
      <c r="C686" s="44" t="s">
        <v>125</v>
      </c>
      <c r="D686" s="45"/>
      <c r="E686" s="60">
        <f>+E675+E685</f>
        <v>1645488.5699999998</v>
      </c>
    </row>
    <row r="687" spans="2:5" ht="21.75">
      <c r="B687" s="56"/>
      <c r="C687" s="32" t="s">
        <v>126</v>
      </c>
      <c r="D687" s="45"/>
      <c r="E687" s="56"/>
    </row>
    <row r="688" spans="2:5" ht="21.75">
      <c r="B688" s="56">
        <f>+B652-B686</f>
        <v>-257510.56999999844</v>
      </c>
      <c r="C688" s="44" t="s">
        <v>127</v>
      </c>
      <c r="D688" s="45"/>
      <c r="E688" s="56">
        <f>SUM(E652-E686)</f>
        <v>-710577.8799999998</v>
      </c>
    </row>
    <row r="689" spans="2:5" ht="21.75">
      <c r="B689" s="56"/>
      <c r="C689" s="32" t="s">
        <v>128</v>
      </c>
      <c r="D689" s="45"/>
      <c r="E689" s="56"/>
    </row>
    <row r="690" spans="2:5" ht="21.75">
      <c r="B690" s="60">
        <f>SUM(B630+B652-B686)</f>
        <v>10073085.73</v>
      </c>
      <c r="C690" s="44" t="s">
        <v>129</v>
      </c>
      <c r="D690" s="46"/>
      <c r="E690" s="60">
        <f>+E630+E652-E686</f>
        <v>10073085.729999999</v>
      </c>
    </row>
    <row r="691" spans="2:5" ht="21.75">
      <c r="B691" s="177"/>
      <c r="C691" s="44"/>
      <c r="D691" s="178"/>
      <c r="E691" s="177">
        <f>+B690-E690</f>
        <v>0</v>
      </c>
    </row>
    <row r="692" ht="21.75">
      <c r="A692" t="s">
        <v>234</v>
      </c>
    </row>
    <row r="693" spans="1:4" ht="21.75">
      <c r="A693" t="s">
        <v>144</v>
      </c>
      <c r="C693" t="s">
        <v>231</v>
      </c>
      <c r="D693" t="s">
        <v>233</v>
      </c>
    </row>
    <row r="694" ht="21.75">
      <c r="C694" t="s">
        <v>232</v>
      </c>
    </row>
  </sheetData>
  <mergeCells count="52">
    <mergeCell ref="A110:E110"/>
    <mergeCell ref="A111:B111"/>
    <mergeCell ref="D74:E74"/>
    <mergeCell ref="A76:E76"/>
    <mergeCell ref="A77:E77"/>
    <mergeCell ref="A78:B78"/>
    <mergeCell ref="A658:E658"/>
    <mergeCell ref="A659:B659"/>
    <mergeCell ref="D623:E623"/>
    <mergeCell ref="A625:E625"/>
    <mergeCell ref="A626:E626"/>
    <mergeCell ref="A627:B627"/>
    <mergeCell ref="A553:E553"/>
    <mergeCell ref="A554:B554"/>
    <mergeCell ref="A586:E586"/>
    <mergeCell ref="A587:B587"/>
    <mergeCell ref="A517:E517"/>
    <mergeCell ref="A518:B518"/>
    <mergeCell ref="D550:E550"/>
    <mergeCell ref="A552:E552"/>
    <mergeCell ref="A477:E477"/>
    <mergeCell ref="A478:B478"/>
    <mergeCell ref="D514:E514"/>
    <mergeCell ref="A516:E516"/>
    <mergeCell ref="D440:E440"/>
    <mergeCell ref="A442:E442"/>
    <mergeCell ref="A443:E443"/>
    <mergeCell ref="A444:B444"/>
    <mergeCell ref="A298:E298"/>
    <mergeCell ref="A299:B299"/>
    <mergeCell ref="A331:E331"/>
    <mergeCell ref="A332:B332"/>
    <mergeCell ref="A258:E258"/>
    <mergeCell ref="A259:B259"/>
    <mergeCell ref="D295:E295"/>
    <mergeCell ref="A297:E297"/>
    <mergeCell ref="D222:E222"/>
    <mergeCell ref="A224:E224"/>
    <mergeCell ref="A225:E225"/>
    <mergeCell ref="A226:B226"/>
    <mergeCell ref="A37:E37"/>
    <mergeCell ref="A38:B38"/>
    <mergeCell ref="D1:E1"/>
    <mergeCell ref="A3:E3"/>
    <mergeCell ref="A4:E4"/>
    <mergeCell ref="A5:B5"/>
    <mergeCell ref="A184:E184"/>
    <mergeCell ref="A185:B185"/>
    <mergeCell ref="D148:E148"/>
    <mergeCell ref="A150:E150"/>
    <mergeCell ref="A151:E151"/>
    <mergeCell ref="A152:B152"/>
  </mergeCells>
  <printOptions/>
  <pageMargins left="0.7480314960629921" right="0.35433070866141736" top="0.7874015748031497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36"/>
  <sheetViews>
    <sheetView workbookViewId="0" topLeftCell="A1">
      <selection activeCell="C293" sqref="C293"/>
    </sheetView>
  </sheetViews>
  <sheetFormatPr defaultColWidth="9.140625" defaultRowHeight="21.75"/>
  <cols>
    <col min="1" max="1" width="15.57421875" style="0" customWidth="1"/>
    <col min="2" max="2" width="17.28125" style="0" customWidth="1"/>
    <col min="3" max="3" width="41.28125" style="0" customWidth="1"/>
    <col min="4" max="4" width="8.140625" style="0" customWidth="1"/>
    <col min="5" max="5" width="17.28125" style="0" customWidth="1"/>
    <col min="6" max="6" width="11.00390625" style="0" bestFit="1" customWidth="1"/>
  </cols>
  <sheetData>
    <row r="1" spans="1:5" ht="21.75">
      <c r="A1" s="47" t="s">
        <v>102</v>
      </c>
      <c r="D1" s="427" t="s">
        <v>195</v>
      </c>
      <c r="E1" s="427"/>
    </row>
    <row r="2" ht="21.75">
      <c r="A2" s="47" t="s">
        <v>103</v>
      </c>
    </row>
    <row r="3" spans="1:5" ht="23.25">
      <c r="A3" s="456" t="s">
        <v>104</v>
      </c>
      <c r="B3" s="456"/>
      <c r="C3" s="456"/>
      <c r="D3" s="456"/>
      <c r="E3" s="456"/>
    </row>
    <row r="4" spans="1:5" ht="21.75">
      <c r="A4" s="428" t="s">
        <v>256</v>
      </c>
      <c r="B4" s="428"/>
      <c r="C4" s="428"/>
      <c r="D4" s="428"/>
      <c r="E4" s="428"/>
    </row>
    <row r="5" spans="1:5" ht="21.75">
      <c r="A5" s="425" t="s">
        <v>105</v>
      </c>
      <c r="B5" s="426"/>
      <c r="C5" s="48"/>
      <c r="D5" s="48"/>
      <c r="E5" s="49" t="s">
        <v>111</v>
      </c>
    </row>
    <row r="6" spans="1:5" ht="21.75">
      <c r="A6" s="48" t="s">
        <v>106</v>
      </c>
      <c r="B6" s="48" t="s">
        <v>108</v>
      </c>
      <c r="C6" s="50" t="s">
        <v>2</v>
      </c>
      <c r="D6" s="50" t="s">
        <v>109</v>
      </c>
      <c r="E6" s="48" t="s">
        <v>108</v>
      </c>
    </row>
    <row r="7" spans="1:5" ht="22.5" thickBot="1">
      <c r="A7" s="51" t="s">
        <v>107</v>
      </c>
      <c r="B7" s="51" t="s">
        <v>107</v>
      </c>
      <c r="C7" s="51"/>
      <c r="D7" s="51" t="s">
        <v>110</v>
      </c>
      <c r="E7" s="51" t="s">
        <v>107</v>
      </c>
    </row>
    <row r="8" spans="1:5" s="148" customFormat="1" ht="21.75" thickTop="1">
      <c r="A8" s="223"/>
      <c r="B8" s="224">
        <f>10373005.25-42408.95</f>
        <v>10330596.3</v>
      </c>
      <c r="C8" s="225" t="s">
        <v>52</v>
      </c>
      <c r="D8" s="226"/>
      <c r="E8" s="227">
        <v>10175028.6</v>
      </c>
    </row>
    <row r="9" spans="1:5" ht="21.75">
      <c r="A9" s="55"/>
      <c r="B9" s="55"/>
      <c r="C9" s="59" t="s">
        <v>119</v>
      </c>
      <c r="D9" s="45"/>
      <c r="E9" s="56"/>
    </row>
    <row r="10" spans="1:5" ht="21.75">
      <c r="A10" s="56">
        <f>40000+25000+2000</f>
        <v>67000</v>
      </c>
      <c r="B10" s="56">
        <f>93861.71+E10</f>
        <v>96278.37000000001</v>
      </c>
      <c r="C10" t="s">
        <v>112</v>
      </c>
      <c r="D10" s="63" t="s">
        <v>130</v>
      </c>
      <c r="E10" s="82">
        <f>1986.66+430</f>
        <v>2416.66</v>
      </c>
    </row>
    <row r="11" spans="1:5" ht="21.75">
      <c r="A11" s="56">
        <f>2000+95000</f>
        <v>97000</v>
      </c>
      <c r="B11" s="56">
        <v>44679.6</v>
      </c>
      <c r="C11" t="s">
        <v>113</v>
      </c>
      <c r="D11" s="63" t="s">
        <v>131</v>
      </c>
      <c r="E11" s="56">
        <v>0</v>
      </c>
    </row>
    <row r="12" spans="1:5" ht="21.75">
      <c r="A12" s="56">
        <f>3000+5000</f>
        <v>8000</v>
      </c>
      <c r="B12" s="56">
        <v>0</v>
      </c>
      <c r="C12" t="s">
        <v>114</v>
      </c>
      <c r="D12" s="63" t="s">
        <v>132</v>
      </c>
      <c r="E12" s="56"/>
    </row>
    <row r="13" spans="1:5" ht="21.75">
      <c r="A13" s="56"/>
      <c r="B13" s="56">
        <v>800</v>
      </c>
      <c r="C13" t="s">
        <v>115</v>
      </c>
      <c r="D13" s="63" t="s">
        <v>133</v>
      </c>
      <c r="E13" s="56"/>
    </row>
    <row r="14" spans="1:5" ht="21.75">
      <c r="A14" s="56">
        <v>70000</v>
      </c>
      <c r="B14" s="56">
        <f>84317.15+E14</f>
        <v>126117.15</v>
      </c>
      <c r="C14" t="s">
        <v>48</v>
      </c>
      <c r="D14" s="63" t="s">
        <v>134</v>
      </c>
      <c r="E14" s="56">
        <v>41800</v>
      </c>
    </row>
    <row r="15" spans="1:5" ht="21.75">
      <c r="A15" s="56">
        <f>590000+982800+350000+4746090+5000+15000+25000</f>
        <v>6713890</v>
      </c>
      <c r="B15" s="56">
        <f>4523175.77+E15</f>
        <v>5496769.319999999</v>
      </c>
      <c r="C15" t="s">
        <v>116</v>
      </c>
      <c r="D15" s="63" t="s">
        <v>135</v>
      </c>
      <c r="E15" s="82">
        <f>666004.75+111826.63+45427.68+105619.38+21608.04+5759.07+17348</f>
        <v>973593.55</v>
      </c>
    </row>
    <row r="16" spans="1:5" ht="21.75">
      <c r="A16" s="56">
        <v>4124000</v>
      </c>
      <c r="B16" s="56">
        <f>1958582+E16</f>
        <v>3917165</v>
      </c>
      <c r="C16" t="s">
        <v>19</v>
      </c>
      <c r="D16" s="63" t="s">
        <v>136</v>
      </c>
      <c r="E16" s="82">
        <v>1958583</v>
      </c>
    </row>
    <row r="17" spans="1:5" ht="22.5" thickBot="1">
      <c r="A17" s="57">
        <f>SUM(A10:A16)</f>
        <v>11079890</v>
      </c>
      <c r="B17" s="57">
        <f>SUM(B10:B16)</f>
        <v>9681809.44</v>
      </c>
      <c r="C17" s="53"/>
      <c r="D17" s="45"/>
      <c r="E17" s="61">
        <f>SUM(E10:E16)</f>
        <v>2976393.21</v>
      </c>
    </row>
    <row r="18" spans="2:5" ht="22.5" thickTop="1">
      <c r="B18" s="58">
        <v>0</v>
      </c>
      <c r="C18" t="s">
        <v>28</v>
      </c>
      <c r="D18" s="45"/>
      <c r="E18" s="56"/>
    </row>
    <row r="19" spans="2:5" ht="21.75">
      <c r="B19" s="56">
        <v>5500</v>
      </c>
      <c r="C19" t="s">
        <v>30</v>
      </c>
      <c r="D19" s="45">
        <v>700</v>
      </c>
      <c r="E19" s="56">
        <v>0</v>
      </c>
    </row>
    <row r="20" spans="2:5" ht="21.75">
      <c r="B20" s="56">
        <f>2562406+E20</f>
        <v>3237681</v>
      </c>
      <c r="C20" s="109" t="s">
        <v>124</v>
      </c>
      <c r="D20" s="110" t="s">
        <v>137</v>
      </c>
      <c r="E20" s="111">
        <f>+5!J24</f>
        <v>675275</v>
      </c>
    </row>
    <row r="21" spans="2:5" ht="21.75">
      <c r="B21" s="56">
        <v>0</v>
      </c>
      <c r="C21" t="s">
        <v>123</v>
      </c>
      <c r="D21" s="45">
        <v>600</v>
      </c>
      <c r="E21" s="56">
        <f>+3!F108</f>
        <v>0</v>
      </c>
    </row>
    <row r="22" spans="2:5" ht="21.75">
      <c r="B22" s="56">
        <v>0</v>
      </c>
      <c r="C22" t="s">
        <v>117</v>
      </c>
      <c r="D22" s="45">
        <v>602</v>
      </c>
      <c r="E22" s="56">
        <v>0</v>
      </c>
    </row>
    <row r="23" spans="2:5" ht="21.75">
      <c r="B23" s="56">
        <f>272506.08+E23</f>
        <v>350307.81000000006</v>
      </c>
      <c r="C23" s="109" t="s">
        <v>118</v>
      </c>
      <c r="D23" s="112">
        <v>900</v>
      </c>
      <c r="E23" s="111">
        <f>+2!C13</f>
        <v>77801.73000000001</v>
      </c>
    </row>
    <row r="24" spans="2:5" ht="21.75">
      <c r="B24" s="56">
        <v>550144</v>
      </c>
      <c r="C24" t="s">
        <v>101</v>
      </c>
      <c r="D24" s="45">
        <v>704</v>
      </c>
      <c r="E24" s="56">
        <v>0</v>
      </c>
    </row>
    <row r="25" spans="2:5" ht="21.75">
      <c r="B25" s="56">
        <v>276740</v>
      </c>
      <c r="C25" t="s">
        <v>139</v>
      </c>
      <c r="D25" s="63" t="s">
        <v>138</v>
      </c>
      <c r="E25" s="56">
        <v>0</v>
      </c>
    </row>
    <row r="26" spans="2:5" ht="21.75">
      <c r="B26" s="56"/>
      <c r="D26" s="45"/>
      <c r="E26" s="56"/>
    </row>
    <row r="27" spans="2:5" ht="21.75">
      <c r="B27" s="56"/>
      <c r="C27" s="53"/>
      <c r="D27" s="45"/>
      <c r="E27" s="56"/>
    </row>
    <row r="28" spans="2:5" ht="21.75">
      <c r="B28" s="56"/>
      <c r="C28" s="53">
        <v>0</v>
      </c>
      <c r="D28" s="45"/>
      <c r="E28" s="56"/>
    </row>
    <row r="29" spans="2:5" ht="21.75">
      <c r="B29" s="56">
        <f>+B18+B19+B20+B21+B22+B23+B24+B25</f>
        <v>4420372.8100000005</v>
      </c>
      <c r="D29" s="45"/>
      <c r="E29" s="56">
        <f>+E18+E19+E20+E21+E22+E23+E24+E25</f>
        <v>753076.73</v>
      </c>
    </row>
    <row r="30" spans="2:5" ht="21.75">
      <c r="B30" s="60">
        <f>SUM(B17+B29)</f>
        <v>14102182.25</v>
      </c>
      <c r="D30" s="46"/>
      <c r="E30" s="60">
        <f>SUM(E17+E29)</f>
        <v>3729469.94</v>
      </c>
    </row>
    <row r="31" ht="21.75">
      <c r="D31" s="44"/>
    </row>
    <row r="32" ht="21.75">
      <c r="D32" s="44"/>
    </row>
    <row r="33" ht="21.75">
      <c r="D33" s="44"/>
    </row>
    <row r="34" ht="21.75">
      <c r="D34" s="44"/>
    </row>
    <row r="35" ht="21.75">
      <c r="D35" s="44"/>
    </row>
    <row r="36" ht="21.75">
      <c r="D36" s="44"/>
    </row>
    <row r="37" spans="1:5" ht="21.75">
      <c r="A37" s="424">
        <v>2</v>
      </c>
      <c r="B37" s="424"/>
      <c r="C37" s="424"/>
      <c r="D37" s="424"/>
      <c r="E37" s="424"/>
    </row>
    <row r="38" spans="1:5" ht="21.75">
      <c r="A38" s="425" t="s">
        <v>105</v>
      </c>
      <c r="B38" s="426"/>
      <c r="C38" s="48"/>
      <c r="D38" s="48"/>
      <c r="E38" s="49" t="s">
        <v>111</v>
      </c>
    </row>
    <row r="39" spans="1:5" ht="22.5" customHeight="1">
      <c r="A39" s="48" t="s">
        <v>106</v>
      </c>
      <c r="B39" s="48" t="s">
        <v>108</v>
      </c>
      <c r="C39" s="50" t="s">
        <v>2</v>
      </c>
      <c r="D39" s="50" t="s">
        <v>109</v>
      </c>
      <c r="E39" s="48" t="s">
        <v>108</v>
      </c>
    </row>
    <row r="40" spans="1:5" ht="22.5" thickBot="1">
      <c r="A40" s="51" t="s">
        <v>107</v>
      </c>
      <c r="B40" s="51" t="s">
        <v>107</v>
      </c>
      <c r="C40" s="51"/>
      <c r="D40" s="51" t="s">
        <v>110</v>
      </c>
      <c r="E40" s="51" t="s">
        <v>107</v>
      </c>
    </row>
    <row r="41" spans="1:5" ht="22.5" thickTop="1">
      <c r="A41" s="55"/>
      <c r="B41" s="55"/>
      <c r="C41" s="59" t="s">
        <v>120</v>
      </c>
      <c r="D41" s="45"/>
      <c r="E41" s="56"/>
    </row>
    <row r="42" spans="1:5" ht="21.75">
      <c r="A42" s="56">
        <v>400000</v>
      </c>
      <c r="B42" s="201">
        <v>642280</v>
      </c>
      <c r="C42" t="s">
        <v>22</v>
      </c>
      <c r="D42" s="65" t="s">
        <v>141</v>
      </c>
      <c r="E42" s="56">
        <v>0</v>
      </c>
    </row>
    <row r="43" spans="1:5" ht="21.75">
      <c r="A43" s="56">
        <v>1495307</v>
      </c>
      <c r="B43" s="56">
        <f>975511.61+E43</f>
        <v>1097741.35</v>
      </c>
      <c r="C43" t="s">
        <v>12</v>
      </c>
      <c r="D43" s="45">
        <v>100</v>
      </c>
      <c r="E43" s="56">
        <v>122229.74</v>
      </c>
    </row>
    <row r="44" spans="1:5" ht="21.75">
      <c r="A44" s="56">
        <v>169890</v>
      </c>
      <c r="B44" s="56">
        <f>124090+E44</f>
        <v>144680</v>
      </c>
      <c r="C44" t="s">
        <v>13</v>
      </c>
      <c r="D44" s="45">
        <v>120</v>
      </c>
      <c r="E44" s="56">
        <v>20590</v>
      </c>
    </row>
    <row r="45" spans="1:5" ht="21.75">
      <c r="A45" s="56">
        <v>114240</v>
      </c>
      <c r="B45" s="56">
        <v>34160</v>
      </c>
      <c r="C45" t="s">
        <v>14</v>
      </c>
      <c r="D45" s="45">
        <v>130</v>
      </c>
      <c r="E45" s="56">
        <v>0</v>
      </c>
    </row>
    <row r="46" spans="1:5" ht="21.75">
      <c r="A46" s="56">
        <v>1188030</v>
      </c>
      <c r="B46" s="217">
        <f>712555.5+E46</f>
        <v>799229.5</v>
      </c>
      <c r="C46" t="s">
        <v>15</v>
      </c>
      <c r="D46" s="45">
        <v>200</v>
      </c>
      <c r="E46" s="56">
        <v>86674</v>
      </c>
    </row>
    <row r="47" spans="1:5" ht="21.75">
      <c r="A47" s="56">
        <v>1546708</v>
      </c>
      <c r="B47" s="201">
        <f>286740.38+E47</f>
        <v>304100.38</v>
      </c>
      <c r="C47" t="s">
        <v>16</v>
      </c>
      <c r="D47" s="45">
        <v>250</v>
      </c>
      <c r="E47" s="56">
        <v>17360</v>
      </c>
    </row>
    <row r="48" spans="1:5" ht="21.75">
      <c r="A48" s="56">
        <v>234069</v>
      </c>
      <c r="B48" s="56">
        <f>50604.7+E48</f>
        <v>123458.7</v>
      </c>
      <c r="C48" t="s">
        <v>17</v>
      </c>
      <c r="D48" s="45">
        <v>270</v>
      </c>
      <c r="E48" s="56">
        <v>72854</v>
      </c>
    </row>
    <row r="49" spans="1:5" ht="21.75">
      <c r="A49" s="56">
        <v>68806</v>
      </c>
      <c r="B49" s="56">
        <f>41976.65+E49</f>
        <v>44748.380000000005</v>
      </c>
      <c r="C49" t="s">
        <v>18</v>
      </c>
      <c r="D49" s="45">
        <v>300</v>
      </c>
      <c r="E49" s="56">
        <v>2771.73</v>
      </c>
    </row>
    <row r="50" spans="1:5" ht="21.75">
      <c r="A50" s="56">
        <v>675040</v>
      </c>
      <c r="B50" s="56">
        <f>141264+E50</f>
        <v>227264</v>
      </c>
      <c r="C50" t="s">
        <v>19</v>
      </c>
      <c r="D50" s="45">
        <v>400</v>
      </c>
      <c r="E50" s="56">
        <v>86000</v>
      </c>
    </row>
    <row r="51" spans="1:5" ht="21.75">
      <c r="A51" s="56">
        <v>463800</v>
      </c>
      <c r="B51" s="56">
        <f>45881.59+E51</f>
        <v>109331.59</v>
      </c>
      <c r="C51" t="s">
        <v>20</v>
      </c>
      <c r="D51" s="45">
        <v>450</v>
      </c>
      <c r="E51" s="56">
        <v>63450</v>
      </c>
    </row>
    <row r="52" spans="1:5" ht="21.75">
      <c r="A52" s="56">
        <f>2029000+4124000</f>
        <v>6153000</v>
      </c>
      <c r="B52" s="56">
        <f>+E52</f>
        <v>398255</v>
      </c>
      <c r="C52" t="s">
        <v>21</v>
      </c>
      <c r="D52" s="45">
        <v>500</v>
      </c>
      <c r="E52" s="56">
        <v>398255</v>
      </c>
    </row>
    <row r="53" spans="1:5" ht="21.75">
      <c r="A53" s="56"/>
      <c r="B53" s="56">
        <f>57000+E53</f>
        <v>76000</v>
      </c>
      <c r="C53" t="s">
        <v>121</v>
      </c>
      <c r="D53" s="45">
        <v>550</v>
      </c>
      <c r="E53" s="56">
        <v>19000</v>
      </c>
    </row>
    <row r="54" spans="1:5" ht="30" thickBot="1">
      <c r="A54" s="57">
        <f>SUM(A42:A52)</f>
        <v>12508890</v>
      </c>
      <c r="B54" s="57">
        <f>SUM(B42:B53)</f>
        <v>4001248.9</v>
      </c>
      <c r="C54" s="176"/>
      <c r="D54" s="45"/>
      <c r="E54" s="57">
        <f>SUM(E42:E53)</f>
        <v>889184.47</v>
      </c>
    </row>
    <row r="55" spans="2:5" ht="22.5" thickTop="1">
      <c r="B55" s="58">
        <f>75000+111200+891000+E55</f>
        <v>1504000</v>
      </c>
      <c r="C55" t="s">
        <v>28</v>
      </c>
      <c r="D55" s="45"/>
      <c r="E55" s="56">
        <v>426800</v>
      </c>
    </row>
    <row r="56" spans="1:5" ht="21.75">
      <c r="A56" s="183"/>
      <c r="B56" s="184">
        <v>766270</v>
      </c>
      <c r="C56" s="185" t="s">
        <v>30</v>
      </c>
      <c r="D56" s="186">
        <v>700</v>
      </c>
      <c r="E56" s="184">
        <v>0</v>
      </c>
    </row>
    <row r="57" spans="2:5" ht="24.75" customHeight="1">
      <c r="B57" s="82">
        <f>2079360.72+E57</f>
        <v>2284790.7199999997</v>
      </c>
      <c r="C57" s="109" t="s">
        <v>124</v>
      </c>
      <c r="D57" s="112">
        <v>3002</v>
      </c>
      <c r="E57" s="111">
        <f>+5!J52</f>
        <v>205430</v>
      </c>
    </row>
    <row r="58" spans="2:5" ht="24.75" customHeight="1">
      <c r="B58" s="182">
        <v>1919400.64</v>
      </c>
      <c r="C58" t="s">
        <v>122</v>
      </c>
      <c r="D58" s="45">
        <v>600</v>
      </c>
      <c r="E58" s="56">
        <f>+3!E108</f>
        <v>0</v>
      </c>
    </row>
    <row r="59" spans="2:5" ht="24.75" customHeight="1">
      <c r="B59" s="182">
        <f>360208.2-23860.3</f>
        <v>336347.9</v>
      </c>
      <c r="C59" t="s">
        <v>117</v>
      </c>
      <c r="D59" s="45">
        <v>602</v>
      </c>
      <c r="E59" s="56">
        <f>+4!E26</f>
        <v>0</v>
      </c>
    </row>
    <row r="60" spans="2:5" ht="20.25" customHeight="1">
      <c r="B60" s="56">
        <f>548282.32+E60</f>
        <v>666904.0199999999</v>
      </c>
      <c r="C60" s="109" t="s">
        <v>118</v>
      </c>
      <c r="D60" s="112">
        <v>900</v>
      </c>
      <c r="E60" s="111">
        <f>+2!D13</f>
        <v>118621.7</v>
      </c>
    </row>
    <row r="61" spans="1:5" ht="20.25" customHeight="1">
      <c r="A61" s="185"/>
      <c r="B61" s="184">
        <v>550144</v>
      </c>
      <c r="C61" s="185" t="s">
        <v>101</v>
      </c>
      <c r="D61" s="186">
        <v>704</v>
      </c>
      <c r="E61" s="184">
        <v>0</v>
      </c>
    </row>
    <row r="62" spans="2:5" ht="20.25" customHeight="1">
      <c r="B62" s="56">
        <v>139210</v>
      </c>
      <c r="C62" t="s">
        <v>140</v>
      </c>
      <c r="D62" s="63" t="s">
        <v>138</v>
      </c>
      <c r="E62" s="56">
        <v>0</v>
      </c>
    </row>
    <row r="63" spans="1:5" ht="20.25" customHeight="1">
      <c r="A63" s="53"/>
      <c r="B63" s="56"/>
      <c r="D63" s="45"/>
      <c r="E63" s="56"/>
    </row>
    <row r="64" spans="2:5" ht="20.25" customHeight="1">
      <c r="B64" s="60">
        <f>SUM(B55:B63)</f>
        <v>8167067.279999999</v>
      </c>
      <c r="D64" s="45"/>
      <c r="E64" s="60">
        <f>SUM(E55:E63)</f>
        <v>750851.7</v>
      </c>
    </row>
    <row r="65" spans="2:5" ht="20.25" customHeight="1">
      <c r="B65" s="60">
        <f>+B64+B54</f>
        <v>12168316.18</v>
      </c>
      <c r="C65" s="44" t="s">
        <v>125</v>
      </c>
      <c r="D65" s="45"/>
      <c r="E65" s="60">
        <f>SUM(E64,E54)</f>
        <v>1640036.17</v>
      </c>
    </row>
    <row r="66" spans="2:5" ht="21.75" customHeight="1">
      <c r="B66" s="56"/>
      <c r="C66" s="32" t="s">
        <v>126</v>
      </c>
      <c r="D66" s="45"/>
      <c r="E66" s="56"/>
    </row>
    <row r="67" spans="2:5" ht="21.75" customHeight="1">
      <c r="B67" s="56">
        <f>+B30-B65</f>
        <v>1933866.0700000003</v>
      </c>
      <c r="C67" s="44" t="s">
        <v>127</v>
      </c>
      <c r="D67" s="45"/>
      <c r="E67" s="56">
        <f>SUM(E30-E65)</f>
        <v>2089433.77</v>
      </c>
    </row>
    <row r="68" spans="2:5" ht="21.75">
      <c r="B68" s="56"/>
      <c r="C68" s="32" t="s">
        <v>128</v>
      </c>
      <c r="D68" s="45"/>
      <c r="E68" s="56"/>
    </row>
    <row r="69" spans="2:5" ht="30.75" customHeight="1">
      <c r="B69" s="222">
        <f>SUM(B8+B30-B65)</f>
        <v>12264462.370000001</v>
      </c>
      <c r="C69" s="44" t="s">
        <v>129</v>
      </c>
      <c r="D69" s="46"/>
      <c r="E69" s="222">
        <f>SUM(E67+E8)</f>
        <v>12264462.37</v>
      </c>
    </row>
    <row r="70" spans="2:5" ht="6" customHeight="1">
      <c r="B70" s="177"/>
      <c r="C70" s="44"/>
      <c r="D70" s="178"/>
      <c r="E70" s="177">
        <f>+B69-E69</f>
        <v>0</v>
      </c>
    </row>
    <row r="71" ht="24" customHeight="1">
      <c r="A71" t="s">
        <v>237</v>
      </c>
    </row>
    <row r="72" spans="1:4" ht="23.25" customHeight="1">
      <c r="A72" t="s">
        <v>144</v>
      </c>
      <c r="C72" t="s">
        <v>239</v>
      </c>
      <c r="D72" t="s">
        <v>233</v>
      </c>
    </row>
    <row r="74" spans="1:5" ht="20.25" customHeight="1">
      <c r="A74" s="47" t="s">
        <v>102</v>
      </c>
      <c r="D74" s="427" t="s">
        <v>195</v>
      </c>
      <c r="E74" s="427"/>
    </row>
    <row r="75" ht="20.25" customHeight="1">
      <c r="A75" s="47" t="s">
        <v>103</v>
      </c>
    </row>
    <row r="76" spans="1:5" ht="20.25" customHeight="1">
      <c r="A76" s="456" t="s">
        <v>104</v>
      </c>
      <c r="B76" s="456"/>
      <c r="C76" s="456"/>
      <c r="D76" s="456"/>
      <c r="E76" s="456"/>
    </row>
    <row r="77" spans="1:5" ht="21.75">
      <c r="A77" s="428" t="s">
        <v>255</v>
      </c>
      <c r="B77" s="428"/>
      <c r="C77" s="428"/>
      <c r="D77" s="428"/>
      <c r="E77" s="428"/>
    </row>
    <row r="78" spans="1:5" ht="21.75">
      <c r="A78" s="425" t="s">
        <v>105</v>
      </c>
      <c r="B78" s="426"/>
      <c r="C78" s="48"/>
      <c r="D78" s="48"/>
      <c r="E78" s="49" t="s">
        <v>111</v>
      </c>
    </row>
    <row r="79" spans="1:5" ht="21.75">
      <c r="A79" s="48" t="s">
        <v>106</v>
      </c>
      <c r="B79" s="48" t="s">
        <v>108</v>
      </c>
      <c r="C79" s="50" t="s">
        <v>2</v>
      </c>
      <c r="D79" s="50" t="s">
        <v>109</v>
      </c>
      <c r="E79" s="48" t="s">
        <v>108</v>
      </c>
    </row>
    <row r="80" spans="1:5" ht="22.5" thickBot="1">
      <c r="A80" s="51" t="s">
        <v>107</v>
      </c>
      <c r="B80" s="51" t="s">
        <v>107</v>
      </c>
      <c r="C80" s="51"/>
      <c r="D80" s="51" t="s">
        <v>110</v>
      </c>
      <c r="E80" s="51" t="s">
        <v>107</v>
      </c>
    </row>
    <row r="81" spans="1:5" ht="22.5" thickTop="1">
      <c r="A81" s="54"/>
      <c r="B81" s="62">
        <f>10373005.25-42408.95</f>
        <v>10330596.3</v>
      </c>
      <c r="C81" s="52" t="s">
        <v>52</v>
      </c>
      <c r="D81" s="45"/>
      <c r="E81" s="181">
        <v>9182085.73</v>
      </c>
    </row>
    <row r="82" spans="1:5" ht="21.75">
      <c r="A82" s="55"/>
      <c r="B82" s="55"/>
      <c r="C82" s="59" t="s">
        <v>119</v>
      </c>
      <c r="D82" s="45"/>
      <c r="E82" s="56"/>
    </row>
    <row r="83" spans="1:5" ht="21.75">
      <c r="A83" s="56">
        <f>40000+25000+2000</f>
        <v>67000</v>
      </c>
      <c r="B83" s="56">
        <f>83340.93+E83</f>
        <v>93861.70999999999</v>
      </c>
      <c r="C83" t="s">
        <v>112</v>
      </c>
      <c r="D83" s="63" t="s">
        <v>130</v>
      </c>
      <c r="E83" s="82">
        <v>10520.78</v>
      </c>
    </row>
    <row r="84" spans="1:5" ht="21.75">
      <c r="A84" s="56">
        <f>2000+95000</f>
        <v>97000</v>
      </c>
      <c r="B84" s="56">
        <v>44679.6</v>
      </c>
      <c r="C84" t="s">
        <v>113</v>
      </c>
      <c r="D84" s="63" t="s">
        <v>131</v>
      </c>
      <c r="E84" s="56">
        <v>0</v>
      </c>
    </row>
    <row r="85" spans="1:5" ht="21.75">
      <c r="A85" s="56">
        <f>3000+5000</f>
        <v>8000</v>
      </c>
      <c r="B85" s="56">
        <v>0</v>
      </c>
      <c r="C85" t="s">
        <v>114</v>
      </c>
      <c r="D85" s="63" t="s">
        <v>132</v>
      </c>
      <c r="E85" s="56">
        <v>0</v>
      </c>
    </row>
    <row r="86" spans="1:5" ht="21.75">
      <c r="A86" s="56"/>
      <c r="B86" s="56">
        <v>800</v>
      </c>
      <c r="C86" t="s">
        <v>115</v>
      </c>
      <c r="D86" s="63" t="s">
        <v>133</v>
      </c>
      <c r="E86" s="56">
        <v>0</v>
      </c>
    </row>
    <row r="87" spans="1:5" ht="21.75">
      <c r="A87" s="56">
        <v>70000</v>
      </c>
      <c r="B87" s="56">
        <f>61617.15+E87</f>
        <v>84317.15</v>
      </c>
      <c r="C87" t="s">
        <v>48</v>
      </c>
      <c r="D87" s="63" t="s">
        <v>134</v>
      </c>
      <c r="E87" s="56">
        <v>22700</v>
      </c>
    </row>
    <row r="88" spans="1:5" ht="21.75">
      <c r="A88" s="56">
        <f>590000+982800+350000+4746090+5000+15000+25000</f>
        <v>6713890</v>
      </c>
      <c r="B88" s="56">
        <f>2559453.04+E88</f>
        <v>4523175.77</v>
      </c>
      <c r="C88" t="s">
        <v>116</v>
      </c>
      <c r="D88" s="63" t="s">
        <v>135</v>
      </c>
      <c r="E88" s="82">
        <v>1963722.73</v>
      </c>
    </row>
    <row r="89" spans="1:5" ht="21.75">
      <c r="A89" s="56">
        <v>4124000</v>
      </c>
      <c r="B89" s="56">
        <v>1958582</v>
      </c>
      <c r="C89" t="s">
        <v>19</v>
      </c>
      <c r="D89" s="63" t="s">
        <v>136</v>
      </c>
      <c r="E89" s="82">
        <v>0</v>
      </c>
    </row>
    <row r="90" spans="1:5" ht="22.5" thickBot="1">
      <c r="A90" s="57">
        <f>SUM(A83:A89)</f>
        <v>11079890</v>
      </c>
      <c r="B90" s="57">
        <f>SUM(B83:B89)</f>
        <v>6705416.2299999995</v>
      </c>
      <c r="C90" s="53"/>
      <c r="D90" s="45"/>
      <c r="E90" s="61">
        <f>SUM(E83:E89)</f>
        <v>1996943.51</v>
      </c>
    </row>
    <row r="91" spans="2:5" ht="22.5" thickTop="1">
      <c r="B91" s="58">
        <f>+E91</f>
        <v>0</v>
      </c>
      <c r="C91" t="s">
        <v>28</v>
      </c>
      <c r="D91" s="45"/>
      <c r="E91" s="56"/>
    </row>
    <row r="92" spans="2:5" ht="21.75">
      <c r="B92" s="56">
        <v>5500</v>
      </c>
      <c r="C92" t="s">
        <v>30</v>
      </c>
      <c r="D92" s="45">
        <v>700</v>
      </c>
      <c r="E92" s="56">
        <v>0</v>
      </c>
    </row>
    <row r="93" spans="2:5" ht="21.75">
      <c r="B93" s="56">
        <v>2562406</v>
      </c>
      <c r="C93" s="109" t="s">
        <v>124</v>
      </c>
      <c r="D93" s="110" t="s">
        <v>137</v>
      </c>
      <c r="E93" s="111">
        <f>+5!I100</f>
        <v>0</v>
      </c>
    </row>
    <row r="94" spans="2:6" ht="21.75">
      <c r="B94" s="56">
        <v>0</v>
      </c>
      <c r="C94" t="s">
        <v>123</v>
      </c>
      <c r="D94" s="45">
        <v>600</v>
      </c>
      <c r="E94" s="56">
        <f>+3!F107</f>
        <v>0</v>
      </c>
      <c r="F94">
        <v>1933392.39</v>
      </c>
    </row>
    <row r="95" spans="2:6" ht="21.75">
      <c r="B95" s="56">
        <v>0</v>
      </c>
      <c r="C95" t="s">
        <v>117</v>
      </c>
      <c r="D95" s="45">
        <v>602</v>
      </c>
      <c r="E95" s="56">
        <v>0</v>
      </c>
      <c r="F95">
        <f>75000+111200+426800+891000</f>
        <v>1504000</v>
      </c>
    </row>
    <row r="96" spans="2:6" ht="21.75">
      <c r="B96" s="56">
        <f>260791.16+E96</f>
        <v>272506.08</v>
      </c>
      <c r="C96" s="109" t="s">
        <v>118</v>
      </c>
      <c r="D96" s="112">
        <v>900</v>
      </c>
      <c r="E96" s="111">
        <v>11714.92</v>
      </c>
      <c r="F96">
        <f>SUM(F94-F95)</f>
        <v>429392.3899999999</v>
      </c>
    </row>
    <row r="97" spans="2:5" ht="21.75">
      <c r="B97" s="56">
        <v>550144</v>
      </c>
      <c r="C97" t="s">
        <v>101</v>
      </c>
      <c r="D97" s="45">
        <v>704</v>
      </c>
      <c r="E97" s="56">
        <v>0</v>
      </c>
    </row>
    <row r="98" spans="2:5" ht="21.75">
      <c r="B98" s="56">
        <f>172210+E98</f>
        <v>276740</v>
      </c>
      <c r="C98" t="s">
        <v>139</v>
      </c>
      <c r="D98" s="63" t="s">
        <v>138</v>
      </c>
      <c r="E98" s="56">
        <v>104530</v>
      </c>
    </row>
    <row r="99" spans="2:5" ht="21.75">
      <c r="B99" s="56"/>
      <c r="D99" s="45"/>
      <c r="E99" s="56"/>
    </row>
    <row r="100" spans="1:5" s="200" customFormat="1" ht="21.75">
      <c r="A100"/>
      <c r="B100" s="56"/>
      <c r="C100" s="53"/>
      <c r="D100" s="45"/>
      <c r="E100" s="56"/>
    </row>
    <row r="101" spans="2:5" ht="21.75">
      <c r="B101" s="56"/>
      <c r="C101" s="53">
        <v>0</v>
      </c>
      <c r="D101" s="45"/>
      <c r="E101" s="56"/>
    </row>
    <row r="102" spans="2:5" ht="21.75">
      <c r="B102" s="56">
        <f>+B91+B92+B93+B94+B95+B96+B97+B98</f>
        <v>3667296.08</v>
      </c>
      <c r="D102" s="45"/>
      <c r="E102" s="56">
        <f>+E91+E92+E93+E94+E95+E96+E97+E98</f>
        <v>116244.92</v>
      </c>
    </row>
    <row r="103" spans="2:5" ht="21.75">
      <c r="B103" s="60">
        <f>SUM(B90+B102)</f>
        <v>10372712.309999999</v>
      </c>
      <c r="D103" s="46"/>
      <c r="E103" s="60">
        <f>SUM(E90+E102)</f>
        <v>2113188.43</v>
      </c>
    </row>
    <row r="104" ht="21.75">
      <c r="D104" s="44"/>
    </row>
    <row r="105" ht="21.75">
      <c r="D105" s="44"/>
    </row>
    <row r="106" ht="21.75">
      <c r="D106" s="44"/>
    </row>
    <row r="107" ht="21.75">
      <c r="D107" s="44"/>
    </row>
    <row r="108" ht="21.75">
      <c r="D108" s="44"/>
    </row>
    <row r="109" ht="21.75">
      <c r="D109" s="44"/>
    </row>
    <row r="110" spans="1:5" ht="18.75" customHeight="1">
      <c r="A110" s="424">
        <v>2</v>
      </c>
      <c r="B110" s="424"/>
      <c r="C110" s="424"/>
      <c r="D110" s="424"/>
      <c r="E110" s="424"/>
    </row>
    <row r="111" spans="1:5" ht="18.75" customHeight="1">
      <c r="A111" s="425" t="s">
        <v>105</v>
      </c>
      <c r="B111" s="426"/>
      <c r="C111" s="48"/>
      <c r="D111" s="48"/>
      <c r="E111" s="49" t="s">
        <v>111</v>
      </c>
    </row>
    <row r="112" spans="1:5" ht="21.75">
      <c r="A112" s="48" t="s">
        <v>106</v>
      </c>
      <c r="B112" s="48" t="s">
        <v>108</v>
      </c>
      <c r="C112" s="50" t="s">
        <v>2</v>
      </c>
      <c r="D112" s="50" t="s">
        <v>109</v>
      </c>
      <c r="E112" s="48" t="s">
        <v>108</v>
      </c>
    </row>
    <row r="113" spans="1:5" ht="22.5" thickBot="1">
      <c r="A113" s="51" t="s">
        <v>107</v>
      </c>
      <c r="B113" s="51" t="s">
        <v>107</v>
      </c>
      <c r="C113" s="51"/>
      <c r="D113" s="51" t="s">
        <v>110</v>
      </c>
      <c r="E113" s="51" t="s">
        <v>107</v>
      </c>
    </row>
    <row r="114" spans="1:5" ht="18.75" customHeight="1" thickTop="1">
      <c r="A114" s="55"/>
      <c r="B114" s="55"/>
      <c r="C114" s="59" t="s">
        <v>120</v>
      </c>
      <c r="D114" s="45"/>
      <c r="E114" s="56"/>
    </row>
    <row r="115" spans="1:5" ht="21.75">
      <c r="A115" s="56">
        <v>400000</v>
      </c>
      <c r="B115" s="201">
        <f>541956+E115</f>
        <v>642280</v>
      </c>
      <c r="C115" t="s">
        <v>22</v>
      </c>
      <c r="D115" s="65" t="s">
        <v>141</v>
      </c>
      <c r="E115" s="56">
        <v>100324</v>
      </c>
    </row>
    <row r="116" spans="1:5" ht="21.75">
      <c r="A116" s="56">
        <v>1495307</v>
      </c>
      <c r="B116" s="56">
        <f>850065.16+E116</f>
        <v>975511.61</v>
      </c>
      <c r="C116" t="s">
        <v>12</v>
      </c>
      <c r="D116" s="45">
        <v>100</v>
      </c>
      <c r="E116" s="56">
        <v>125446.45</v>
      </c>
    </row>
    <row r="117" spans="1:5" ht="21.75">
      <c r="A117" s="56">
        <v>169890</v>
      </c>
      <c r="B117" s="56">
        <f>103500+E117</f>
        <v>124090</v>
      </c>
      <c r="C117" t="s">
        <v>13</v>
      </c>
      <c r="D117" s="45">
        <v>120</v>
      </c>
      <c r="E117" s="56">
        <v>20590</v>
      </c>
    </row>
    <row r="118" spans="1:5" ht="21.75">
      <c r="A118" s="56">
        <v>114240</v>
      </c>
      <c r="B118" s="56">
        <v>34160</v>
      </c>
      <c r="C118" t="s">
        <v>14</v>
      </c>
      <c r="D118" s="45">
        <v>130</v>
      </c>
      <c r="E118" s="56">
        <v>0</v>
      </c>
    </row>
    <row r="119" spans="1:5" ht="21.75">
      <c r="A119" s="56">
        <v>1188030</v>
      </c>
      <c r="B119" s="56">
        <f>595511+E119</f>
        <v>712555.5</v>
      </c>
      <c r="C119" t="s">
        <v>15</v>
      </c>
      <c r="D119" s="45">
        <v>200</v>
      </c>
      <c r="E119" s="56">
        <v>117044.5</v>
      </c>
    </row>
    <row r="120" spans="1:5" ht="21.75">
      <c r="A120" s="56">
        <v>1546708</v>
      </c>
      <c r="B120" s="56">
        <f>254810.59+E120</f>
        <v>286740.38</v>
      </c>
      <c r="C120" t="s">
        <v>16</v>
      </c>
      <c r="D120" s="45">
        <v>250</v>
      </c>
      <c r="E120" s="56">
        <v>31929.79</v>
      </c>
    </row>
    <row r="121" spans="1:5" ht="21.75">
      <c r="A121" s="56">
        <v>234069</v>
      </c>
      <c r="B121" s="56">
        <f>34914.7+E121</f>
        <v>50604.7</v>
      </c>
      <c r="C121" t="s">
        <v>17</v>
      </c>
      <c r="D121" s="45">
        <v>270</v>
      </c>
      <c r="E121" s="56">
        <v>15690</v>
      </c>
    </row>
    <row r="122" spans="1:5" ht="21.75">
      <c r="A122" s="56">
        <v>68806</v>
      </c>
      <c r="B122" s="56">
        <f>33599.79+E122</f>
        <v>41976.65</v>
      </c>
      <c r="C122" t="s">
        <v>18</v>
      </c>
      <c r="D122" s="45">
        <v>300</v>
      </c>
      <c r="E122" s="56">
        <v>8376.86</v>
      </c>
    </row>
    <row r="123" spans="1:5" ht="21.75">
      <c r="A123" s="56">
        <v>675040</v>
      </c>
      <c r="B123" s="56">
        <f>41264+E123</f>
        <v>141264</v>
      </c>
      <c r="C123" t="s">
        <v>19</v>
      </c>
      <c r="D123" s="45">
        <v>400</v>
      </c>
      <c r="E123" s="56">
        <v>100000</v>
      </c>
    </row>
    <row r="124" spans="1:5" ht="21.75">
      <c r="A124" s="56">
        <v>463800</v>
      </c>
      <c r="B124" s="56">
        <v>45881.59</v>
      </c>
      <c r="C124" t="s">
        <v>20</v>
      </c>
      <c r="D124" s="45">
        <v>450</v>
      </c>
      <c r="E124" s="56">
        <v>0</v>
      </c>
    </row>
    <row r="125" spans="1:5" ht="21.75">
      <c r="A125" s="56">
        <f>2029000+4124000</f>
        <v>6153000</v>
      </c>
      <c r="B125" s="56">
        <v>0</v>
      </c>
      <c r="C125" t="s">
        <v>21</v>
      </c>
      <c r="D125" s="45">
        <v>500</v>
      </c>
      <c r="E125" s="56">
        <v>0</v>
      </c>
    </row>
    <row r="126" spans="1:5" ht="21.75">
      <c r="A126" s="56"/>
      <c r="B126" s="56">
        <f>50000+E126</f>
        <v>57000</v>
      </c>
      <c r="C126" t="s">
        <v>121</v>
      </c>
      <c r="D126" s="45">
        <v>550</v>
      </c>
      <c r="E126" s="56">
        <v>7000</v>
      </c>
    </row>
    <row r="127" spans="1:5" ht="30" thickBot="1">
      <c r="A127" s="57">
        <f>SUM(A115:A125)</f>
        <v>12508890</v>
      </c>
      <c r="B127" s="57">
        <f>SUM(B115:B126)</f>
        <v>3112064.4299999997</v>
      </c>
      <c r="C127" s="176"/>
      <c r="D127" s="45"/>
      <c r="E127" s="57">
        <f>SUM(E115:E126)</f>
        <v>526401.6</v>
      </c>
    </row>
    <row r="128" spans="1:5" s="200" customFormat="1" ht="22.5" thickTop="1">
      <c r="A128"/>
      <c r="B128" s="58">
        <f>75000+891000+E128</f>
        <v>1077200</v>
      </c>
      <c r="C128" t="s">
        <v>28</v>
      </c>
      <c r="D128" s="45"/>
      <c r="E128" s="56">
        <v>111200</v>
      </c>
    </row>
    <row r="129" spans="1:5" ht="21.75">
      <c r="A129" s="183"/>
      <c r="B129" s="184">
        <v>766270</v>
      </c>
      <c r="C129" s="185" t="s">
        <v>30</v>
      </c>
      <c r="D129" s="186">
        <v>700</v>
      </c>
      <c r="E129" s="184">
        <v>0</v>
      </c>
    </row>
    <row r="130" spans="2:5" ht="21.75">
      <c r="B130" s="82">
        <f>1713933.84+E130</f>
        <v>2079360.7200000002</v>
      </c>
      <c r="C130" s="109" t="s">
        <v>124</v>
      </c>
      <c r="D130" s="112">
        <v>3002</v>
      </c>
      <c r="E130" s="111">
        <v>365426.88</v>
      </c>
    </row>
    <row r="131" spans="2:5" ht="21.75">
      <c r="B131" s="182">
        <f>1895540.34+E131</f>
        <v>1895540.34</v>
      </c>
      <c r="C131" t="s">
        <v>122</v>
      </c>
      <c r="D131" s="45">
        <v>600</v>
      </c>
      <c r="E131" s="56">
        <v>0</v>
      </c>
    </row>
    <row r="132" spans="1:5" s="200" customFormat="1" ht="21.75">
      <c r="A132"/>
      <c r="B132" s="182">
        <v>360208.2</v>
      </c>
      <c r="C132" t="s">
        <v>117</v>
      </c>
      <c r="D132" s="45">
        <v>602</v>
      </c>
      <c r="E132" s="56">
        <f>+4!E102</f>
        <v>0</v>
      </c>
    </row>
    <row r="133" spans="2:5" ht="21.75">
      <c r="B133" s="56">
        <f>530065.24+E133</f>
        <v>548282.32</v>
      </c>
      <c r="C133" s="109" t="s">
        <v>118</v>
      </c>
      <c r="D133" s="112">
        <v>900</v>
      </c>
      <c r="E133" s="111">
        <v>18217.08</v>
      </c>
    </row>
    <row r="134" spans="1:5" ht="21.75">
      <c r="A134" s="185"/>
      <c r="B134" s="184">
        <v>550144</v>
      </c>
      <c r="C134" s="185" t="s">
        <v>101</v>
      </c>
      <c r="D134" s="186">
        <v>704</v>
      </c>
      <c r="E134" s="184">
        <v>0</v>
      </c>
    </row>
    <row r="135" spans="2:5" ht="21.75">
      <c r="B135" s="56">
        <f>40210+E135</f>
        <v>139210</v>
      </c>
      <c r="C135" t="s">
        <v>140</v>
      </c>
      <c r="D135" s="63" t="s">
        <v>138</v>
      </c>
      <c r="E135" s="56">
        <v>99000</v>
      </c>
    </row>
    <row r="136" spans="2:5" ht="21.75">
      <c r="B136" s="56"/>
      <c r="D136" s="45"/>
      <c r="E136" s="56"/>
    </row>
    <row r="137" spans="2:5" ht="21.75">
      <c r="B137" s="60">
        <f>SUM(B128:B136)</f>
        <v>7416215.580000001</v>
      </c>
      <c r="D137" s="45"/>
      <c r="E137" s="60">
        <f>SUM(E128:E136)</f>
        <v>593843.96</v>
      </c>
    </row>
    <row r="138" spans="2:5" ht="21.75">
      <c r="B138" s="60">
        <f>+B137+B127</f>
        <v>10528280.010000002</v>
      </c>
      <c r="C138" s="44" t="s">
        <v>125</v>
      </c>
      <c r="D138" s="45"/>
      <c r="E138" s="60">
        <f>SUM(E137,E127)</f>
        <v>1120245.56</v>
      </c>
    </row>
    <row r="139" spans="2:5" ht="18" customHeight="1">
      <c r="B139" s="56"/>
      <c r="C139" s="32" t="s">
        <v>126</v>
      </c>
      <c r="D139" s="45"/>
      <c r="E139" s="56"/>
    </row>
    <row r="140" spans="2:5" ht="21.75">
      <c r="B140" s="56">
        <f>+B103-B138</f>
        <v>-155567.70000000298</v>
      </c>
      <c r="C140" s="44" t="s">
        <v>127</v>
      </c>
      <c r="D140" s="45"/>
      <c r="E140" s="56">
        <f>SUM(E103-E138)</f>
        <v>992942.8700000001</v>
      </c>
    </row>
    <row r="141" spans="2:6" ht="18" customHeight="1">
      <c r="B141" s="56"/>
      <c r="C141" s="32" t="s">
        <v>128</v>
      </c>
      <c r="D141" s="45"/>
      <c r="E141" s="56"/>
      <c r="F141" s="53"/>
    </row>
    <row r="142" spans="2:5" ht="16.5" customHeight="1">
      <c r="B142" s="60">
        <f>SUM(B81+B103-B138)</f>
        <v>10175028.599999998</v>
      </c>
      <c r="C142" s="44" t="s">
        <v>129</v>
      </c>
      <c r="D142" s="46"/>
      <c r="E142" s="60">
        <f>SUM(E140+E81)</f>
        <v>10175028.600000001</v>
      </c>
    </row>
    <row r="143" spans="2:5" ht="19.5" customHeight="1">
      <c r="B143" s="177"/>
      <c r="C143" s="44"/>
      <c r="D143" s="178"/>
      <c r="E143" s="177">
        <f>+B142-E142</f>
        <v>0</v>
      </c>
    </row>
    <row r="144" ht="24" customHeight="1">
      <c r="A144" t="s">
        <v>237</v>
      </c>
    </row>
    <row r="145" spans="1:4" ht="23.25" customHeight="1">
      <c r="A145" t="s">
        <v>144</v>
      </c>
      <c r="C145" t="s">
        <v>238</v>
      </c>
      <c r="D145" t="s">
        <v>233</v>
      </c>
    </row>
    <row r="147" spans="1:5" ht="21.75">
      <c r="A147" s="47" t="s">
        <v>102</v>
      </c>
      <c r="D147" s="427" t="s">
        <v>195</v>
      </c>
      <c r="E147" s="427"/>
    </row>
    <row r="148" ht="21.75">
      <c r="A148" s="47" t="s">
        <v>103</v>
      </c>
    </row>
    <row r="149" spans="1:5" ht="23.25">
      <c r="A149" s="456" t="s">
        <v>104</v>
      </c>
      <c r="B149" s="456"/>
      <c r="C149" s="456"/>
      <c r="D149" s="456"/>
      <c r="E149" s="456"/>
    </row>
    <row r="150" spans="1:5" ht="21.75">
      <c r="A150" s="428" t="s">
        <v>247</v>
      </c>
      <c r="B150" s="428"/>
      <c r="C150" s="428"/>
      <c r="D150" s="428"/>
      <c r="E150" s="428"/>
    </row>
    <row r="151" spans="1:5" ht="21.75">
      <c r="A151" s="425" t="s">
        <v>105</v>
      </c>
      <c r="B151" s="426"/>
      <c r="C151" s="48"/>
      <c r="D151" s="48"/>
      <c r="E151" s="49" t="s">
        <v>111</v>
      </c>
    </row>
    <row r="152" spans="1:5" ht="21.75">
      <c r="A152" s="48" t="s">
        <v>106</v>
      </c>
      <c r="B152" s="48" t="s">
        <v>108</v>
      </c>
      <c r="C152" s="50" t="s">
        <v>2</v>
      </c>
      <c r="D152" s="50" t="s">
        <v>109</v>
      </c>
      <c r="E152" s="48" t="s">
        <v>108</v>
      </c>
    </row>
    <row r="153" spans="1:5" ht="18" customHeight="1" thickBot="1">
      <c r="A153" s="51" t="s">
        <v>107</v>
      </c>
      <c r="B153" s="51" t="s">
        <v>107</v>
      </c>
      <c r="C153" s="51"/>
      <c r="D153" s="51" t="s">
        <v>110</v>
      </c>
      <c r="E153" s="51" t="s">
        <v>107</v>
      </c>
    </row>
    <row r="154" spans="1:5" ht="22.5" thickTop="1">
      <c r="A154" s="54"/>
      <c r="B154" s="62">
        <f>10373005.25-42408.95</f>
        <v>10330596.3</v>
      </c>
      <c r="C154" s="52" t="s">
        <v>52</v>
      </c>
      <c r="D154" s="45"/>
      <c r="E154" s="181">
        <v>8488486.45</v>
      </c>
    </row>
    <row r="155" spans="1:5" ht="21.75">
      <c r="A155" s="55"/>
      <c r="B155" s="55"/>
      <c r="C155" s="59" t="s">
        <v>119</v>
      </c>
      <c r="D155" s="45"/>
      <c r="E155" s="56"/>
    </row>
    <row r="156" spans="1:5" ht="21.75">
      <c r="A156" s="56">
        <f>40000+25000+2000</f>
        <v>67000</v>
      </c>
      <c r="B156" s="56">
        <v>37215.03</v>
      </c>
      <c r="C156" t="s">
        <v>112</v>
      </c>
      <c r="D156" s="63" t="s">
        <v>130</v>
      </c>
      <c r="E156" s="82">
        <v>28712.12</v>
      </c>
    </row>
    <row r="157" spans="1:5" ht="21.75">
      <c r="A157" s="56"/>
      <c r="B157" s="56">
        <v>41309.6</v>
      </c>
      <c r="C157" t="s">
        <v>113</v>
      </c>
      <c r="D157" s="63" t="s">
        <v>131</v>
      </c>
      <c r="E157" s="56">
        <v>39932</v>
      </c>
    </row>
    <row r="158" spans="1:5" ht="21.75">
      <c r="A158" s="56">
        <f>3000+5000</f>
        <v>8000</v>
      </c>
      <c r="B158" s="56">
        <v>0</v>
      </c>
      <c r="C158" t="s">
        <v>114</v>
      </c>
      <c r="D158" s="63" t="s">
        <v>132</v>
      </c>
      <c r="E158" s="56">
        <v>0</v>
      </c>
    </row>
    <row r="159" spans="1:5" ht="21.75">
      <c r="A159" s="56"/>
      <c r="B159" s="56">
        <v>800</v>
      </c>
      <c r="C159" t="s">
        <v>115</v>
      </c>
      <c r="D159" s="63" t="s">
        <v>133</v>
      </c>
      <c r="E159" s="56">
        <v>0</v>
      </c>
    </row>
    <row r="160" spans="1:5" ht="21.75">
      <c r="A160" s="56">
        <v>70000</v>
      </c>
      <c r="B160" s="56">
        <f>4000+E160</f>
        <v>16000</v>
      </c>
      <c r="C160" t="s">
        <v>48</v>
      </c>
      <c r="D160" s="63" t="s">
        <v>134</v>
      </c>
      <c r="E160" s="56">
        <v>12000</v>
      </c>
    </row>
    <row r="161" spans="1:5" ht="21.75">
      <c r="A161" s="56">
        <f>590000+982800+350000+4746090+5000+15000+25000</f>
        <v>6713890</v>
      </c>
      <c r="B161" s="56">
        <v>1912829.69</v>
      </c>
      <c r="C161" t="s">
        <v>116</v>
      </c>
      <c r="D161" s="63" t="s">
        <v>135</v>
      </c>
      <c r="E161" s="82">
        <v>284727.3</v>
      </c>
    </row>
    <row r="162" spans="1:5" ht="21.75">
      <c r="A162" s="56">
        <v>4124000</v>
      </c>
      <c r="B162" s="56">
        <v>0</v>
      </c>
      <c r="C162" t="s">
        <v>19</v>
      </c>
      <c r="D162" s="63" t="s">
        <v>136</v>
      </c>
      <c r="E162" s="56">
        <v>0</v>
      </c>
    </row>
    <row r="163" spans="1:5" ht="22.5" thickBot="1">
      <c r="A163" s="57">
        <f>SUM(A156:A162)</f>
        <v>10982890</v>
      </c>
      <c r="B163" s="57">
        <f>SUM(B156:B162)</f>
        <v>2008154.3199999998</v>
      </c>
      <c r="C163" s="53"/>
      <c r="D163" s="45"/>
      <c r="E163" s="61">
        <f>SUM(E156:E162)</f>
        <v>365371.42</v>
      </c>
    </row>
    <row r="164" spans="2:5" ht="18.75" customHeight="1" thickTop="1">
      <c r="B164" s="58">
        <f>+E164</f>
        <v>0</v>
      </c>
      <c r="C164" t="s">
        <v>28</v>
      </c>
      <c r="D164" s="45"/>
      <c r="E164" s="56"/>
    </row>
    <row r="165" spans="2:5" ht="21.75">
      <c r="B165" s="56">
        <f>5500+E165</f>
        <v>5500</v>
      </c>
      <c r="C165" t="s">
        <v>30</v>
      </c>
      <c r="D165" s="45">
        <v>700</v>
      </c>
      <c r="E165" s="56">
        <v>0</v>
      </c>
    </row>
    <row r="166" spans="2:5" ht="21.75">
      <c r="B166" s="56">
        <f>605083+80100+696048</f>
        <v>1381231</v>
      </c>
      <c r="C166" s="109" t="s">
        <v>124</v>
      </c>
      <c r="D166" s="110" t="s">
        <v>137</v>
      </c>
      <c r="E166" s="111">
        <v>696048</v>
      </c>
    </row>
    <row r="167" spans="2:5" ht="21.75" customHeight="1">
      <c r="B167" s="56">
        <f>+E167</f>
        <v>0</v>
      </c>
      <c r="C167" t="s">
        <v>123</v>
      </c>
      <c r="D167" s="45">
        <v>600</v>
      </c>
      <c r="E167" s="56">
        <v>0</v>
      </c>
    </row>
    <row r="168" spans="2:5" ht="21.75" customHeight="1">
      <c r="B168" s="56">
        <f>+E168</f>
        <v>0</v>
      </c>
      <c r="C168" t="s">
        <v>117</v>
      </c>
      <c r="D168" s="45">
        <v>602</v>
      </c>
      <c r="E168" s="56">
        <v>0</v>
      </c>
    </row>
    <row r="169" spans="2:5" ht="21.75" customHeight="1">
      <c r="B169" s="56">
        <f>215862.9+5888</f>
        <v>221750.9</v>
      </c>
      <c r="C169" s="109" t="s">
        <v>118</v>
      </c>
      <c r="D169" s="112">
        <v>900</v>
      </c>
      <c r="E169" s="111">
        <v>28750.17</v>
      </c>
    </row>
    <row r="170" spans="1:5" ht="21.75" customHeight="1">
      <c r="A170" s="200"/>
      <c r="B170" s="201">
        <f>359144+191000</f>
        <v>550144</v>
      </c>
      <c r="C170" s="200" t="s">
        <v>101</v>
      </c>
      <c r="D170" s="202">
        <v>704</v>
      </c>
      <c r="E170" s="201">
        <v>0</v>
      </c>
    </row>
    <row r="171" spans="2:5" ht="21.75" customHeight="1">
      <c r="B171" s="56">
        <v>7210</v>
      </c>
      <c r="C171" t="s">
        <v>139</v>
      </c>
      <c r="D171" s="63" t="s">
        <v>138</v>
      </c>
      <c r="E171" s="56">
        <v>0</v>
      </c>
    </row>
    <row r="172" spans="2:5" ht="21.75" customHeight="1">
      <c r="B172" s="56"/>
      <c r="D172" s="45"/>
      <c r="E172" s="56"/>
    </row>
    <row r="173" spans="2:5" ht="21.75">
      <c r="B173" s="82" t="s">
        <v>219</v>
      </c>
      <c r="C173" s="53"/>
      <c r="D173" s="45"/>
      <c r="E173" s="56"/>
    </row>
    <row r="174" spans="2:5" ht="21.75">
      <c r="B174" s="56"/>
      <c r="C174" s="53"/>
      <c r="D174" s="45"/>
      <c r="E174" s="56"/>
    </row>
    <row r="175" spans="2:5" ht="21.75">
      <c r="B175" s="56">
        <f>+B164+B165+B166+B167+B168+B169+B170+B171</f>
        <v>2165835.9</v>
      </c>
      <c r="D175" s="45"/>
      <c r="E175" s="56">
        <f>+E164+E165+E166+E167+E168+E169+E170+E171</f>
        <v>724798.17</v>
      </c>
    </row>
    <row r="176" spans="2:5" ht="21.75">
      <c r="B176" s="60">
        <f>SUM(B163+B175)</f>
        <v>4173990.2199999997</v>
      </c>
      <c r="D176" s="46"/>
      <c r="E176" s="60">
        <f>SUM(E163+E175)</f>
        <v>1090169.59</v>
      </c>
    </row>
    <row r="177" spans="2:5" ht="21.75">
      <c r="B177" s="177"/>
      <c r="D177" s="178"/>
      <c r="E177" s="177"/>
    </row>
    <row r="178" spans="2:5" ht="21.75">
      <c r="B178" s="177"/>
      <c r="D178" s="178"/>
      <c r="E178" s="177"/>
    </row>
    <row r="179" spans="2:5" ht="21.75">
      <c r="B179" s="177"/>
      <c r="D179" s="178"/>
      <c r="E179" s="177"/>
    </row>
    <row r="180" spans="2:5" ht="21.75">
      <c r="B180" s="177"/>
      <c r="D180" s="178"/>
      <c r="E180" s="177"/>
    </row>
    <row r="181" spans="2:5" ht="21.75">
      <c r="B181" s="177"/>
      <c r="D181" s="178"/>
      <c r="E181" s="177"/>
    </row>
    <row r="182" spans="2:5" ht="21.75">
      <c r="B182" s="177"/>
      <c r="D182" s="178"/>
      <c r="E182" s="177"/>
    </row>
    <row r="183" spans="2:5" ht="21.75">
      <c r="B183" s="177"/>
      <c r="D183" s="178"/>
      <c r="E183" s="177"/>
    </row>
    <row r="184" spans="1:5" ht="20.25" customHeight="1">
      <c r="A184" s="424">
        <v>2</v>
      </c>
      <c r="B184" s="424"/>
      <c r="C184" s="424"/>
      <c r="D184" s="424"/>
      <c r="E184" s="424"/>
    </row>
    <row r="185" spans="1:5" ht="20.25" customHeight="1">
      <c r="A185" s="425" t="s">
        <v>105</v>
      </c>
      <c r="B185" s="426"/>
      <c r="C185" s="48"/>
      <c r="D185" s="48"/>
      <c r="E185" s="49" t="s">
        <v>111</v>
      </c>
    </row>
    <row r="186" spans="1:5" ht="20.25" customHeight="1">
      <c r="A186" s="48" t="s">
        <v>106</v>
      </c>
      <c r="B186" s="48" t="s">
        <v>108</v>
      </c>
      <c r="C186" s="50" t="s">
        <v>2</v>
      </c>
      <c r="D186" s="50" t="s">
        <v>109</v>
      </c>
      <c r="E186" s="48" t="s">
        <v>108</v>
      </c>
    </row>
    <row r="187" spans="1:5" ht="20.25" customHeight="1" thickBot="1">
      <c r="A187" s="51" t="s">
        <v>107</v>
      </c>
      <c r="B187" s="51" t="s">
        <v>107</v>
      </c>
      <c r="C187" s="51"/>
      <c r="D187" s="51" t="s">
        <v>110</v>
      </c>
      <c r="E187" s="51" t="s">
        <v>107</v>
      </c>
    </row>
    <row r="188" spans="1:5" ht="22.5" thickTop="1">
      <c r="A188" s="55"/>
      <c r="B188" s="55"/>
      <c r="C188" s="59" t="s">
        <v>120</v>
      </c>
      <c r="D188" s="45"/>
      <c r="E188" s="56"/>
    </row>
    <row r="189" spans="1:5" ht="21.75">
      <c r="A189" s="56">
        <v>400000</v>
      </c>
      <c r="B189" s="56">
        <v>259680</v>
      </c>
      <c r="C189" t="s">
        <v>22</v>
      </c>
      <c r="D189" s="65" t="s">
        <v>141</v>
      </c>
      <c r="E189" s="56">
        <v>588</v>
      </c>
    </row>
    <row r="190" spans="1:5" ht="21.75">
      <c r="A190" s="56">
        <v>1495307</v>
      </c>
      <c r="B190" s="56">
        <v>594495.16</v>
      </c>
      <c r="C190" t="s">
        <v>12</v>
      </c>
      <c r="D190" s="45">
        <v>100</v>
      </c>
      <c r="E190" s="56">
        <v>127150</v>
      </c>
    </row>
    <row r="191" spans="1:5" ht="21.75">
      <c r="A191" s="56">
        <v>169890</v>
      </c>
      <c r="B191" s="56">
        <v>73700</v>
      </c>
      <c r="C191" t="s">
        <v>13</v>
      </c>
      <c r="D191" s="45">
        <v>120</v>
      </c>
      <c r="E191" s="56">
        <v>14740</v>
      </c>
    </row>
    <row r="192" spans="1:5" ht="21.75">
      <c r="A192" s="56">
        <v>114240</v>
      </c>
      <c r="B192" s="56">
        <v>24400</v>
      </c>
      <c r="C192" t="s">
        <v>14</v>
      </c>
      <c r="D192" s="45">
        <v>130</v>
      </c>
      <c r="E192" s="56">
        <v>4880</v>
      </c>
    </row>
    <row r="193" spans="1:5" ht="21.75">
      <c r="A193" s="56">
        <v>1188030</v>
      </c>
      <c r="B193" s="56">
        <v>430125</v>
      </c>
      <c r="C193" t="s">
        <v>15</v>
      </c>
      <c r="D193" s="45">
        <v>200</v>
      </c>
      <c r="E193" s="56">
        <v>95837</v>
      </c>
    </row>
    <row r="194" spans="1:5" ht="21.75">
      <c r="A194" s="56">
        <v>1546708</v>
      </c>
      <c r="B194" s="56">
        <v>246879.59</v>
      </c>
      <c r="C194" t="s">
        <v>16</v>
      </c>
      <c r="D194" s="45">
        <v>250</v>
      </c>
      <c r="E194" s="56">
        <v>214688</v>
      </c>
    </row>
    <row r="195" spans="1:5" ht="21.75">
      <c r="A195" s="56">
        <v>234069</v>
      </c>
      <c r="B195" s="56">
        <v>33634.7</v>
      </c>
      <c r="C195" t="s">
        <v>17</v>
      </c>
      <c r="D195" s="45">
        <v>270</v>
      </c>
      <c r="E195" s="56">
        <v>0</v>
      </c>
    </row>
    <row r="196" spans="1:5" ht="21.75">
      <c r="A196" s="56">
        <v>68806</v>
      </c>
      <c r="B196" s="56">
        <v>25296</v>
      </c>
      <c r="C196" t="s">
        <v>18</v>
      </c>
      <c r="D196" s="45">
        <v>300</v>
      </c>
      <c r="E196" s="56">
        <v>4016.08</v>
      </c>
    </row>
    <row r="197" spans="1:5" ht="21.75">
      <c r="A197" s="56">
        <v>675040</v>
      </c>
      <c r="B197" s="56">
        <v>38000</v>
      </c>
      <c r="C197" t="s">
        <v>19</v>
      </c>
      <c r="D197" s="45">
        <v>400</v>
      </c>
      <c r="E197" s="56">
        <v>38000</v>
      </c>
    </row>
    <row r="198" spans="1:5" ht="21.75">
      <c r="A198" s="56">
        <v>463800</v>
      </c>
      <c r="B198" s="56">
        <v>45881.59</v>
      </c>
      <c r="C198" t="s">
        <v>20</v>
      </c>
      <c r="D198" s="45">
        <v>450</v>
      </c>
      <c r="E198" s="56">
        <v>45881.59</v>
      </c>
    </row>
    <row r="199" spans="1:5" ht="21.75">
      <c r="A199" s="56">
        <f>2029000+4124000</f>
        <v>6153000</v>
      </c>
      <c r="B199" s="56">
        <f>+E199</f>
        <v>0</v>
      </c>
      <c r="C199" t="s">
        <v>21</v>
      </c>
      <c r="D199" s="45">
        <v>500</v>
      </c>
      <c r="E199" s="56">
        <v>0</v>
      </c>
    </row>
    <row r="200" spans="1:5" ht="21.75">
      <c r="A200" s="56"/>
      <c r="B200" s="56">
        <v>36000</v>
      </c>
      <c r="C200" t="s">
        <v>121</v>
      </c>
      <c r="D200" s="45">
        <v>550</v>
      </c>
      <c r="E200" s="56">
        <v>7000</v>
      </c>
    </row>
    <row r="201" spans="1:5" ht="25.5" customHeight="1" thickBot="1">
      <c r="A201" s="57">
        <f>SUM(A189:A199)</f>
        <v>12508890</v>
      </c>
      <c r="B201" s="57">
        <f>SUM(B189:B200)</f>
        <v>1808092.0400000003</v>
      </c>
      <c r="C201" s="176"/>
      <c r="D201" s="45"/>
      <c r="E201" s="57">
        <f>SUM(E189:E200)</f>
        <v>552780.67</v>
      </c>
    </row>
    <row r="202" spans="2:5" ht="22.5" thickTop="1">
      <c r="B202" s="58">
        <f>75000+891000</f>
        <v>966000</v>
      </c>
      <c r="C202" t="s">
        <v>28</v>
      </c>
      <c r="D202" s="45"/>
      <c r="E202" s="56">
        <v>75000</v>
      </c>
    </row>
    <row r="203" spans="1:5" ht="21.75">
      <c r="A203" s="183"/>
      <c r="B203" s="184">
        <v>467932</v>
      </c>
      <c r="C203" s="185" t="s">
        <v>30</v>
      </c>
      <c r="D203" s="186">
        <v>700</v>
      </c>
      <c r="E203" s="184">
        <v>0</v>
      </c>
    </row>
    <row r="204" spans="1:5" ht="21.75">
      <c r="A204" s="200"/>
      <c r="B204" s="201">
        <f>861046+5888</f>
        <v>866934</v>
      </c>
      <c r="C204" s="204" t="s">
        <v>124</v>
      </c>
      <c r="D204" s="205">
        <v>3002</v>
      </c>
      <c r="E204" s="206">
        <f>489014+5888</f>
        <v>494902</v>
      </c>
    </row>
    <row r="205" spans="2:5" ht="21.75">
      <c r="B205" s="182">
        <v>1644462.52</v>
      </c>
      <c r="C205" t="s">
        <v>122</v>
      </c>
      <c r="D205" s="45">
        <v>600</v>
      </c>
      <c r="E205" s="56">
        <v>596000</v>
      </c>
    </row>
    <row r="206" spans="2:5" ht="21.75">
      <c r="B206" s="182">
        <v>310110</v>
      </c>
      <c r="C206" t="s">
        <v>117</v>
      </c>
      <c r="D206" s="45">
        <v>602</v>
      </c>
      <c r="E206" s="56">
        <v>0</v>
      </c>
    </row>
    <row r="207" spans="2:5" ht="21.75">
      <c r="B207" s="56">
        <v>417158.74</v>
      </c>
      <c r="C207" s="109" t="s">
        <v>118</v>
      </c>
      <c r="D207" s="112">
        <v>900</v>
      </c>
      <c r="E207" s="111">
        <v>119620.15</v>
      </c>
    </row>
    <row r="208" spans="1:5" ht="21.75">
      <c r="A208" s="196"/>
      <c r="B208" s="197">
        <f>283544+E208</f>
        <v>550144</v>
      </c>
      <c r="C208" s="198" t="s">
        <v>101</v>
      </c>
      <c r="D208" s="199">
        <v>704</v>
      </c>
      <c r="E208" s="197">
        <v>266600</v>
      </c>
    </row>
    <row r="209" spans="2:5" ht="21.75">
      <c r="B209" s="56">
        <v>0</v>
      </c>
      <c r="C209" t="s">
        <v>140</v>
      </c>
      <c r="D209" s="63" t="s">
        <v>138</v>
      </c>
      <c r="E209" s="56">
        <v>0</v>
      </c>
    </row>
    <row r="210" spans="2:5" ht="21.75">
      <c r="B210" s="56"/>
      <c r="D210" s="45"/>
      <c r="E210" s="56"/>
    </row>
    <row r="211" spans="2:5" ht="21.75">
      <c r="B211" s="60">
        <f>SUM(B202:B210)</f>
        <v>5222741.26</v>
      </c>
      <c r="D211" s="45"/>
      <c r="E211" s="60">
        <f>SUM(E202:E210)</f>
        <v>1552122.15</v>
      </c>
    </row>
    <row r="212" spans="2:5" ht="21.75">
      <c r="B212" s="60">
        <f>+B201+B211</f>
        <v>7030833.3</v>
      </c>
      <c r="C212" s="44" t="s">
        <v>125</v>
      </c>
      <c r="D212" s="45"/>
      <c r="E212" s="60">
        <f>+E201+E211</f>
        <v>2104902.82</v>
      </c>
    </row>
    <row r="213" spans="2:5" ht="15.75" customHeight="1">
      <c r="B213" s="56"/>
      <c r="C213" s="32" t="s">
        <v>126</v>
      </c>
      <c r="D213" s="45"/>
      <c r="E213" s="56"/>
    </row>
    <row r="214" spans="2:5" ht="21.75">
      <c r="B214" s="56">
        <f>+B176-B212</f>
        <v>-2856843.08</v>
      </c>
      <c r="C214" s="44" t="s">
        <v>127</v>
      </c>
      <c r="D214" s="45"/>
      <c r="E214" s="56">
        <f>SUM(E176-E212)</f>
        <v>-1014733.2299999997</v>
      </c>
    </row>
    <row r="215" spans="2:5" ht="18" customHeight="1">
      <c r="B215" s="56"/>
      <c r="C215" s="32" t="s">
        <v>128</v>
      </c>
      <c r="D215" s="45"/>
      <c r="E215" s="56"/>
    </row>
    <row r="216" spans="2:5" ht="21.75">
      <c r="B216" s="60">
        <f>SUM(B154+B176-B212)</f>
        <v>7473753.22</v>
      </c>
      <c r="C216" s="44" t="s">
        <v>129</v>
      </c>
      <c r="D216" s="46"/>
      <c r="E216" s="60">
        <f>+E154+E176-E212</f>
        <v>7473753.219999999</v>
      </c>
    </row>
    <row r="217" spans="2:5" ht="17.25" customHeight="1">
      <c r="B217" s="177"/>
      <c r="C217" s="44"/>
      <c r="D217" s="178"/>
      <c r="E217" s="177">
        <f>+B216-E216</f>
        <v>0</v>
      </c>
    </row>
    <row r="218" ht="24" customHeight="1">
      <c r="A218" t="s">
        <v>246</v>
      </c>
    </row>
    <row r="219" spans="1:4" ht="23.25" customHeight="1">
      <c r="A219" t="s">
        <v>144</v>
      </c>
      <c r="C219" t="s">
        <v>238</v>
      </c>
      <c r="D219" t="s">
        <v>233</v>
      </c>
    </row>
    <row r="220" ht="21.75">
      <c r="C220" t="s">
        <v>210</v>
      </c>
    </row>
    <row r="221" spans="1:5" ht="21.75">
      <c r="A221" s="47" t="s">
        <v>102</v>
      </c>
      <c r="D221" s="427" t="s">
        <v>195</v>
      </c>
      <c r="E221" s="427"/>
    </row>
    <row r="222" ht="21.75">
      <c r="A222" s="47" t="s">
        <v>103</v>
      </c>
    </row>
    <row r="223" spans="1:5" ht="23.25">
      <c r="A223" s="456" t="s">
        <v>104</v>
      </c>
      <c r="B223" s="456"/>
      <c r="C223" s="456"/>
      <c r="D223" s="456"/>
      <c r="E223" s="456"/>
    </row>
    <row r="224" spans="1:5" ht="21.75">
      <c r="A224" s="428" t="s">
        <v>243</v>
      </c>
      <c r="B224" s="428"/>
      <c r="C224" s="428"/>
      <c r="D224" s="428"/>
      <c r="E224" s="428"/>
    </row>
    <row r="225" spans="1:5" ht="21.75">
      <c r="A225" s="425" t="s">
        <v>105</v>
      </c>
      <c r="B225" s="426"/>
      <c r="C225" s="48"/>
      <c r="D225" s="48"/>
      <c r="E225" s="49" t="s">
        <v>111</v>
      </c>
    </row>
    <row r="226" spans="1:5" ht="21.75">
      <c r="A226" s="48" t="s">
        <v>106</v>
      </c>
      <c r="B226" s="48" t="s">
        <v>108</v>
      </c>
      <c r="C226" s="50" t="s">
        <v>2</v>
      </c>
      <c r="D226" s="50" t="s">
        <v>109</v>
      </c>
      <c r="E226" s="48" t="s">
        <v>108</v>
      </c>
    </row>
    <row r="227" spans="1:5" ht="22.5" thickBot="1">
      <c r="A227" s="51" t="s">
        <v>107</v>
      </c>
      <c r="B227" s="51" t="s">
        <v>107</v>
      </c>
      <c r="C227" s="51"/>
      <c r="D227" s="51" t="s">
        <v>110</v>
      </c>
      <c r="E227" s="51" t="s">
        <v>107</v>
      </c>
    </row>
    <row r="228" spans="1:5" ht="22.5" thickTop="1">
      <c r="A228" s="54"/>
      <c r="B228" s="62">
        <f>10373005.25-42408.95</f>
        <v>10330596.3</v>
      </c>
      <c r="C228" s="52" t="s">
        <v>52</v>
      </c>
      <c r="D228" s="45"/>
      <c r="E228" s="181">
        <v>9261892.2</v>
      </c>
    </row>
    <row r="229" spans="1:5" ht="21.75">
      <c r="A229" s="55"/>
      <c r="B229" s="55"/>
      <c r="C229" s="59" t="s">
        <v>119</v>
      </c>
      <c r="D229" s="45"/>
      <c r="E229" s="56"/>
    </row>
    <row r="230" spans="1:5" ht="21.75">
      <c r="A230" s="56">
        <f>40000+25000+2000</f>
        <v>67000</v>
      </c>
      <c r="B230" s="56">
        <v>8502.91</v>
      </c>
      <c r="C230" t="s">
        <v>112</v>
      </c>
      <c r="D230" s="63" t="s">
        <v>130</v>
      </c>
      <c r="E230" s="82">
        <v>3242.74</v>
      </c>
    </row>
    <row r="231" spans="1:5" ht="21.75">
      <c r="A231" s="56"/>
      <c r="B231" s="56">
        <v>1377.6</v>
      </c>
      <c r="C231" t="s">
        <v>113</v>
      </c>
      <c r="D231" s="63" t="s">
        <v>131</v>
      </c>
      <c r="E231" s="56">
        <v>0</v>
      </c>
    </row>
    <row r="232" spans="1:5" ht="21.75">
      <c r="A232" s="56">
        <f>3000+5000</f>
        <v>8000</v>
      </c>
      <c r="B232" s="56">
        <v>0</v>
      </c>
      <c r="C232" t="s">
        <v>114</v>
      </c>
      <c r="D232" s="63" t="s">
        <v>132</v>
      </c>
      <c r="E232" s="56">
        <v>0</v>
      </c>
    </row>
    <row r="233" spans="1:5" ht="21.75">
      <c r="A233" s="56"/>
      <c r="B233" s="56">
        <v>800</v>
      </c>
      <c r="C233" t="s">
        <v>115</v>
      </c>
      <c r="D233" s="63" t="s">
        <v>133</v>
      </c>
      <c r="E233" s="56">
        <v>800</v>
      </c>
    </row>
    <row r="234" spans="1:5" ht="21.75">
      <c r="A234" s="56">
        <v>70000</v>
      </c>
      <c r="B234" s="56">
        <v>4000</v>
      </c>
      <c r="C234" t="s">
        <v>48</v>
      </c>
      <c r="D234" s="63" t="s">
        <v>134</v>
      </c>
      <c r="E234" s="56">
        <v>0</v>
      </c>
    </row>
    <row r="235" spans="1:5" ht="21.75">
      <c r="A235" s="56">
        <f>590000+982800+350000+4746090+5000+15000+25000</f>
        <v>6713890</v>
      </c>
      <c r="B235" s="56">
        <v>1628102.39</v>
      </c>
      <c r="C235" t="s">
        <v>116</v>
      </c>
      <c r="D235" s="63" t="s">
        <v>135</v>
      </c>
      <c r="E235" s="82">
        <v>288487.29</v>
      </c>
    </row>
    <row r="236" spans="1:5" ht="21.75">
      <c r="A236" s="56">
        <v>4124000</v>
      </c>
      <c r="B236" s="56">
        <v>0</v>
      </c>
      <c r="C236" t="s">
        <v>19</v>
      </c>
      <c r="D236" s="63" t="s">
        <v>136</v>
      </c>
      <c r="E236" s="56">
        <v>0</v>
      </c>
    </row>
    <row r="237" spans="1:5" ht="22.5" thickBot="1">
      <c r="A237" s="57">
        <f>SUM(A230:A236)</f>
        <v>10982890</v>
      </c>
      <c r="B237" s="57">
        <f>SUM(B230:B236)</f>
        <v>1642782.9</v>
      </c>
      <c r="C237" s="53"/>
      <c r="D237" s="45"/>
      <c r="E237" s="61">
        <f>SUM(E230:E236)</f>
        <v>292530.02999999997</v>
      </c>
    </row>
    <row r="238" spans="2:5" ht="22.5" thickTop="1">
      <c r="B238" s="58">
        <v>0</v>
      </c>
      <c r="C238" t="s">
        <v>28</v>
      </c>
      <c r="D238" s="45"/>
      <c r="E238" s="56"/>
    </row>
    <row r="239" spans="2:5" ht="21.75">
      <c r="B239" s="56">
        <f>5500+E239</f>
        <v>5500</v>
      </c>
      <c r="C239" t="s">
        <v>30</v>
      </c>
      <c r="D239" s="45">
        <v>700</v>
      </c>
      <c r="E239" s="56">
        <v>0</v>
      </c>
    </row>
    <row r="240" spans="2:5" ht="21.75">
      <c r="B240" s="56">
        <v>685183</v>
      </c>
      <c r="C240" s="109" t="s">
        <v>124</v>
      </c>
      <c r="D240" s="110" t="s">
        <v>137</v>
      </c>
      <c r="E240" s="111">
        <v>80100</v>
      </c>
    </row>
    <row r="241" spans="2:5" ht="21.75">
      <c r="B241" s="56">
        <v>0</v>
      </c>
      <c r="C241" t="s">
        <v>123</v>
      </c>
      <c r="D241" s="45">
        <v>600</v>
      </c>
      <c r="E241" s="56">
        <v>0</v>
      </c>
    </row>
    <row r="242" spans="2:5" ht="21.75">
      <c r="B242" s="56">
        <v>0</v>
      </c>
      <c r="C242" t="s">
        <v>117</v>
      </c>
      <c r="D242" s="45">
        <v>602</v>
      </c>
      <c r="E242" s="56">
        <v>0</v>
      </c>
    </row>
    <row r="243" spans="2:5" ht="21.75">
      <c r="B243" s="56">
        <v>193000.73</v>
      </c>
      <c r="C243" s="109" t="s">
        <v>118</v>
      </c>
      <c r="D243" s="112">
        <v>900</v>
      </c>
      <c r="E243" s="111">
        <v>29669.46</v>
      </c>
    </row>
    <row r="244" spans="1:5" ht="21.75">
      <c r="A244" s="200"/>
      <c r="B244" s="201">
        <f>359144+191000</f>
        <v>550144</v>
      </c>
      <c r="C244" s="200" t="s">
        <v>101</v>
      </c>
      <c r="D244" s="202">
        <v>704</v>
      </c>
      <c r="E244" s="201">
        <v>191000</v>
      </c>
    </row>
    <row r="245" spans="2:5" ht="21.75">
      <c r="B245" s="56">
        <v>7210</v>
      </c>
      <c r="C245" t="s">
        <v>139</v>
      </c>
      <c r="D245" s="63" t="s">
        <v>138</v>
      </c>
      <c r="E245" s="56">
        <v>7210</v>
      </c>
    </row>
    <row r="246" spans="2:5" ht="21.75">
      <c r="B246" s="56"/>
      <c r="D246" s="45"/>
      <c r="E246" s="56"/>
    </row>
    <row r="247" spans="2:5" ht="21.75">
      <c r="B247" s="82" t="s">
        <v>219</v>
      </c>
      <c r="C247" s="53"/>
      <c r="D247" s="45"/>
      <c r="E247" s="56"/>
    </row>
    <row r="248" spans="2:5" ht="21.75">
      <c r="B248" s="56"/>
      <c r="C248" s="53"/>
      <c r="D248" s="45"/>
      <c r="E248" s="56"/>
    </row>
    <row r="249" spans="2:5" ht="21.75">
      <c r="B249" s="56">
        <f>SUM(B238:B248)</f>
        <v>1441037.73</v>
      </c>
      <c r="D249" s="45"/>
      <c r="E249" s="56">
        <f>+E238+E239+E240+E241+E242+E243+E244+E245</f>
        <v>307979.45999999996</v>
      </c>
    </row>
    <row r="250" spans="2:5" ht="21.75">
      <c r="B250" s="60">
        <f>+B249+B237</f>
        <v>3083820.63</v>
      </c>
      <c r="D250" s="46"/>
      <c r="E250" s="60">
        <f>SUM(E237+E249)</f>
        <v>600509.49</v>
      </c>
    </row>
    <row r="251" spans="2:5" ht="21.75">
      <c r="B251" s="177"/>
      <c r="D251" s="178"/>
      <c r="E251" s="177"/>
    </row>
    <row r="252" spans="2:5" ht="21.75">
      <c r="B252" s="177"/>
      <c r="D252" s="178"/>
      <c r="E252" s="177"/>
    </row>
    <row r="253" spans="2:5" ht="21.75">
      <c r="B253" s="177"/>
      <c r="D253" s="178"/>
      <c r="E253" s="177"/>
    </row>
    <row r="254" spans="2:5" ht="21.75">
      <c r="B254" s="177"/>
      <c r="D254" s="178"/>
      <c r="E254" s="177"/>
    </row>
    <row r="255" spans="2:5" ht="21.75">
      <c r="B255" s="177"/>
      <c r="D255" s="178"/>
      <c r="E255" s="177"/>
    </row>
    <row r="256" spans="2:5" ht="21.75">
      <c r="B256" s="207"/>
      <c r="C256" s="200"/>
      <c r="D256" s="178"/>
      <c r="E256" s="177"/>
    </row>
    <row r="257" spans="1:5" ht="20.25" customHeight="1">
      <c r="A257" s="425" t="s">
        <v>105</v>
      </c>
      <c r="B257" s="426"/>
      <c r="C257" s="48"/>
      <c r="D257" s="48"/>
      <c r="E257" s="49" t="s">
        <v>111</v>
      </c>
    </row>
    <row r="258" spans="1:5" ht="20.25" customHeight="1">
      <c r="A258" s="48" t="s">
        <v>106</v>
      </c>
      <c r="B258" s="48" t="s">
        <v>108</v>
      </c>
      <c r="C258" s="50" t="s">
        <v>2</v>
      </c>
      <c r="D258" s="50" t="s">
        <v>109</v>
      </c>
      <c r="E258" s="48" t="s">
        <v>108</v>
      </c>
    </row>
    <row r="259" spans="1:5" ht="20.25" customHeight="1" thickBot="1">
      <c r="A259" s="51" t="s">
        <v>107</v>
      </c>
      <c r="B259" s="51" t="s">
        <v>107</v>
      </c>
      <c r="C259" s="51"/>
      <c r="D259" s="51" t="s">
        <v>110</v>
      </c>
      <c r="E259" s="51" t="s">
        <v>107</v>
      </c>
    </row>
    <row r="260" spans="1:5" ht="22.5" thickTop="1">
      <c r="A260" s="55"/>
      <c r="B260" s="55"/>
      <c r="C260" s="59" t="s">
        <v>120</v>
      </c>
      <c r="D260" s="45"/>
      <c r="E260" s="56"/>
    </row>
    <row r="261" spans="1:5" ht="21.75">
      <c r="A261" s="56">
        <v>400000</v>
      </c>
      <c r="B261" s="56">
        <v>259092</v>
      </c>
      <c r="C261" t="s">
        <v>22</v>
      </c>
      <c r="D261" s="65" t="s">
        <v>141</v>
      </c>
      <c r="E261" s="56">
        <v>178088</v>
      </c>
    </row>
    <row r="262" spans="1:5" ht="21.75">
      <c r="A262" s="56">
        <v>1495307</v>
      </c>
      <c r="B262" s="56">
        <v>467345.16</v>
      </c>
      <c r="C262" t="s">
        <v>12</v>
      </c>
      <c r="D262" s="45">
        <v>100</v>
      </c>
      <c r="E262" s="56">
        <v>126675.8</v>
      </c>
    </row>
    <row r="263" spans="1:5" ht="21.75">
      <c r="A263" s="56">
        <v>169890</v>
      </c>
      <c r="B263" s="56">
        <v>58960</v>
      </c>
      <c r="C263" t="s">
        <v>13</v>
      </c>
      <c r="D263" s="45">
        <v>120</v>
      </c>
      <c r="E263" s="56">
        <v>14740</v>
      </c>
    </row>
    <row r="264" spans="1:5" ht="21.75">
      <c r="A264" s="56">
        <v>114240</v>
      </c>
      <c r="B264" s="56">
        <v>19520</v>
      </c>
      <c r="C264" t="s">
        <v>14</v>
      </c>
      <c r="D264" s="45">
        <v>130</v>
      </c>
      <c r="E264" s="56">
        <v>4880</v>
      </c>
    </row>
    <row r="265" spans="1:5" ht="21.75">
      <c r="A265" s="56">
        <v>1188030</v>
      </c>
      <c r="B265" s="56">
        <v>334288</v>
      </c>
      <c r="C265" t="s">
        <v>15</v>
      </c>
      <c r="D265" s="45">
        <v>200</v>
      </c>
      <c r="E265" s="56">
        <v>81811</v>
      </c>
    </row>
    <row r="266" spans="1:5" ht="21.75">
      <c r="A266" s="56">
        <v>1546708</v>
      </c>
      <c r="B266" s="56">
        <v>32191.59</v>
      </c>
      <c r="C266" t="s">
        <v>16</v>
      </c>
      <c r="D266" s="45">
        <v>250</v>
      </c>
      <c r="E266" s="56">
        <v>6250</v>
      </c>
    </row>
    <row r="267" spans="1:5" ht="21.75">
      <c r="A267" s="56">
        <v>234069</v>
      </c>
      <c r="B267" s="56">
        <v>33634.7</v>
      </c>
      <c r="C267" t="s">
        <v>17</v>
      </c>
      <c r="D267" s="45">
        <v>270</v>
      </c>
      <c r="E267" s="56">
        <v>740</v>
      </c>
    </row>
    <row r="268" spans="1:5" ht="21.75">
      <c r="A268" s="56">
        <v>68806</v>
      </c>
      <c r="B268" s="56">
        <v>21279.92</v>
      </c>
      <c r="C268" t="s">
        <v>18</v>
      </c>
      <c r="D268" s="45">
        <v>300</v>
      </c>
      <c r="E268" s="56">
        <v>5236.98</v>
      </c>
    </row>
    <row r="269" spans="1:5" ht="21.75">
      <c r="A269" s="56">
        <v>675040</v>
      </c>
      <c r="B269" s="56">
        <v>0</v>
      </c>
      <c r="C269" t="s">
        <v>19</v>
      </c>
      <c r="D269" s="45">
        <v>400</v>
      </c>
      <c r="E269" s="56">
        <v>0</v>
      </c>
    </row>
    <row r="270" spans="1:5" ht="21.75">
      <c r="A270" s="56">
        <v>463800</v>
      </c>
      <c r="B270" s="56">
        <v>0</v>
      </c>
      <c r="C270" t="s">
        <v>20</v>
      </c>
      <c r="D270" s="45">
        <v>450</v>
      </c>
      <c r="E270" s="56">
        <v>0</v>
      </c>
    </row>
    <row r="271" spans="1:5" ht="21.75">
      <c r="A271" s="56">
        <f>2029000+4124000</f>
        <v>6153000</v>
      </c>
      <c r="B271" s="56">
        <f>+E271</f>
        <v>0</v>
      </c>
      <c r="C271" t="s">
        <v>21</v>
      </c>
      <c r="D271" s="45">
        <v>500</v>
      </c>
      <c r="E271" s="56">
        <v>0</v>
      </c>
    </row>
    <row r="272" spans="1:5" ht="21.75">
      <c r="A272" s="56"/>
      <c r="B272" s="56">
        <v>29000</v>
      </c>
      <c r="C272" t="s">
        <v>121</v>
      </c>
      <c r="D272" s="45">
        <v>550</v>
      </c>
      <c r="E272" s="56">
        <v>7000</v>
      </c>
    </row>
    <row r="273" spans="1:5" ht="25.5" customHeight="1" thickBot="1">
      <c r="A273" s="57">
        <f>SUM(A261:A271)</f>
        <v>12508890</v>
      </c>
      <c r="B273" s="57">
        <f>SUM(B261:B272)</f>
        <v>1255311.3699999999</v>
      </c>
      <c r="C273" s="176"/>
      <c r="D273" s="45"/>
      <c r="E273" s="57">
        <f>SUM(E261:E272)</f>
        <v>425421.77999999997</v>
      </c>
    </row>
    <row r="274" spans="2:5" ht="22.5" thickTop="1">
      <c r="B274" s="58">
        <f>SUM(E274)</f>
        <v>891000</v>
      </c>
      <c r="C274" t="s">
        <v>28</v>
      </c>
      <c r="D274" s="45"/>
      <c r="E274" s="56">
        <v>891000</v>
      </c>
    </row>
    <row r="275" spans="1:5" ht="21.75">
      <c r="A275" s="183"/>
      <c r="B275" s="184">
        <v>467932</v>
      </c>
      <c r="C275" s="185" t="s">
        <v>30</v>
      </c>
      <c r="D275" s="186">
        <v>700</v>
      </c>
      <c r="E275" s="184">
        <v>0</v>
      </c>
    </row>
    <row r="276" spans="1:5" ht="21.75">
      <c r="A276" s="200"/>
      <c r="B276" s="201">
        <v>372032</v>
      </c>
      <c r="C276" s="204" t="s">
        <v>124</v>
      </c>
      <c r="D276" s="205">
        <v>3002</v>
      </c>
      <c r="E276" s="206">
        <v>15544</v>
      </c>
    </row>
    <row r="277" spans="2:5" ht="21.75">
      <c r="B277" s="182">
        <v>1048462.52</v>
      </c>
      <c r="C277" t="s">
        <v>122</v>
      </c>
      <c r="D277" s="45">
        <v>600</v>
      </c>
      <c r="E277" s="56">
        <v>16500</v>
      </c>
    </row>
    <row r="278" spans="2:5" ht="21.75">
      <c r="B278" s="182">
        <v>310110</v>
      </c>
      <c r="C278" t="s">
        <v>117</v>
      </c>
      <c r="D278" s="45">
        <v>602</v>
      </c>
      <c r="E278" s="56">
        <v>0</v>
      </c>
    </row>
    <row r="279" spans="2:5" ht="21.75">
      <c r="B279" s="56">
        <v>297538.59</v>
      </c>
      <c r="C279" s="109" t="s">
        <v>118</v>
      </c>
      <c r="D279" s="112">
        <v>900</v>
      </c>
      <c r="E279" s="111">
        <v>25449.46</v>
      </c>
    </row>
    <row r="280" spans="1:5" ht="21.75">
      <c r="A280" s="196"/>
      <c r="B280" s="197">
        <v>283544</v>
      </c>
      <c r="C280" s="198" t="s">
        <v>101</v>
      </c>
      <c r="D280" s="199">
        <v>704</v>
      </c>
      <c r="E280" s="197">
        <v>0</v>
      </c>
    </row>
    <row r="281" spans="2:5" ht="21.75">
      <c r="B281" s="56">
        <v>0</v>
      </c>
      <c r="C281" t="s">
        <v>140</v>
      </c>
      <c r="D281" s="63" t="s">
        <v>138</v>
      </c>
      <c r="E281" s="56">
        <v>0</v>
      </c>
    </row>
    <row r="282" spans="2:5" ht="21.75">
      <c r="B282" s="56"/>
      <c r="D282" s="45"/>
      <c r="E282" s="56"/>
    </row>
    <row r="283" spans="2:5" ht="21.75">
      <c r="B283" s="60">
        <f>SUM(B274:B282)</f>
        <v>3670619.11</v>
      </c>
      <c r="D283" s="45"/>
      <c r="E283" s="60">
        <f>SUM(E274:E282)</f>
        <v>948493.46</v>
      </c>
    </row>
    <row r="284" spans="2:5" ht="21.75">
      <c r="B284" s="60">
        <f>+B273+B283</f>
        <v>4925930.4799999995</v>
      </c>
      <c r="C284" s="44" t="s">
        <v>125</v>
      </c>
      <c r="D284" s="45"/>
      <c r="E284" s="60">
        <f>+E273+E283</f>
        <v>1373915.24</v>
      </c>
    </row>
    <row r="285" spans="2:5" ht="15.75" customHeight="1">
      <c r="B285" s="56"/>
      <c r="C285" s="32" t="s">
        <v>126</v>
      </c>
      <c r="D285" s="45"/>
      <c r="E285" s="56"/>
    </row>
    <row r="286" spans="2:5" ht="21.75">
      <c r="B286" s="56">
        <f>+B250-B284</f>
        <v>-1842109.8499999996</v>
      </c>
      <c r="C286" s="44" t="s">
        <v>127</v>
      </c>
      <c r="D286" s="45"/>
      <c r="E286" s="56">
        <f>SUM(E250-E284)</f>
        <v>-773405.75</v>
      </c>
    </row>
    <row r="287" spans="2:5" ht="18" customHeight="1">
      <c r="B287" s="56"/>
      <c r="C287" s="32" t="s">
        <v>128</v>
      </c>
      <c r="D287" s="45"/>
      <c r="E287" s="56"/>
    </row>
    <row r="288" spans="2:5" ht="21.75">
      <c r="B288" s="60">
        <f>+B228+B286</f>
        <v>8488486.450000001</v>
      </c>
      <c r="C288" s="44" t="s">
        <v>129</v>
      </c>
      <c r="D288" s="46"/>
      <c r="E288" s="60">
        <f>+E228+E286</f>
        <v>8488486.45</v>
      </c>
    </row>
    <row r="289" spans="2:5" ht="17.25" customHeight="1">
      <c r="B289" s="177"/>
      <c r="C289" s="44"/>
      <c r="D289" s="178"/>
      <c r="E289" s="177">
        <f>+B288-E288</f>
        <v>0</v>
      </c>
    </row>
    <row r="290" ht="24" customHeight="1">
      <c r="A290" t="s">
        <v>244</v>
      </c>
    </row>
    <row r="291" spans="1:4" ht="23.25" customHeight="1">
      <c r="A291" t="s">
        <v>144</v>
      </c>
      <c r="C291" t="s">
        <v>245</v>
      </c>
      <c r="D291" t="s">
        <v>233</v>
      </c>
    </row>
    <row r="293" spans="1:5" ht="21.75">
      <c r="A293" s="47" t="s">
        <v>102</v>
      </c>
      <c r="D293" s="427" t="s">
        <v>195</v>
      </c>
      <c r="E293" s="427"/>
    </row>
    <row r="294" ht="21.75">
      <c r="A294" s="47" t="s">
        <v>103</v>
      </c>
    </row>
    <row r="295" spans="1:5" ht="23.25">
      <c r="A295" s="456" t="s">
        <v>104</v>
      </c>
      <c r="B295" s="456"/>
      <c r="C295" s="456"/>
      <c r="D295" s="456"/>
      <c r="E295" s="456"/>
    </row>
    <row r="296" spans="1:5" ht="21.75">
      <c r="A296" s="428" t="s">
        <v>248</v>
      </c>
      <c r="B296" s="428"/>
      <c r="C296" s="428"/>
      <c r="D296" s="428"/>
      <c r="E296" s="428"/>
    </row>
    <row r="297" spans="1:5" ht="21.75">
      <c r="A297" s="425" t="s">
        <v>105</v>
      </c>
      <c r="B297" s="426"/>
      <c r="C297" s="48"/>
      <c r="D297" s="48"/>
      <c r="E297" s="49" t="s">
        <v>111</v>
      </c>
    </row>
    <row r="298" spans="1:5" ht="21.75">
      <c r="A298" s="48" t="s">
        <v>106</v>
      </c>
      <c r="B298" s="48" t="s">
        <v>108</v>
      </c>
      <c r="C298" s="50" t="s">
        <v>2</v>
      </c>
      <c r="D298" s="50" t="s">
        <v>109</v>
      </c>
      <c r="E298" s="48" t="s">
        <v>108</v>
      </c>
    </row>
    <row r="299" spans="1:5" ht="22.5" thickBot="1">
      <c r="A299" s="51" t="s">
        <v>107</v>
      </c>
      <c r="B299" s="51" t="s">
        <v>107</v>
      </c>
      <c r="C299" s="51"/>
      <c r="D299" s="51" t="s">
        <v>110</v>
      </c>
      <c r="E299" s="51" t="s">
        <v>107</v>
      </c>
    </row>
    <row r="300" spans="1:5" ht="22.5" thickTop="1">
      <c r="A300" s="54"/>
      <c r="B300" s="62">
        <f>10373005.25-42408.95</f>
        <v>10330596.3</v>
      </c>
      <c r="C300" s="52" t="s">
        <v>52</v>
      </c>
      <c r="D300" s="45"/>
      <c r="E300" s="181">
        <v>7473753.22</v>
      </c>
    </row>
    <row r="301" spans="1:5" ht="21.75">
      <c r="A301" s="55"/>
      <c r="B301" s="55"/>
      <c r="C301" s="59" t="s">
        <v>119</v>
      </c>
      <c r="D301" s="45"/>
      <c r="E301" s="56"/>
    </row>
    <row r="302" spans="1:5" ht="21.75">
      <c r="A302" s="56">
        <f>40000+25000+2000</f>
        <v>67000</v>
      </c>
      <c r="B302" s="56">
        <f>37215.03+E302</f>
        <v>69393.63</v>
      </c>
      <c r="C302" t="s">
        <v>112</v>
      </c>
      <c r="D302" s="63" t="s">
        <v>130</v>
      </c>
      <c r="E302" s="82">
        <v>32178.6</v>
      </c>
    </row>
    <row r="303" spans="1:5" ht="21.75">
      <c r="A303" s="56"/>
      <c r="B303" s="56">
        <f>41309.6+E303</f>
        <v>44679.6</v>
      </c>
      <c r="C303" t="s">
        <v>113</v>
      </c>
      <c r="D303" s="63" t="s">
        <v>131</v>
      </c>
      <c r="E303" s="56">
        <v>3370</v>
      </c>
    </row>
    <row r="304" spans="1:5" ht="21.75">
      <c r="A304" s="56">
        <f>3000+5000</f>
        <v>8000</v>
      </c>
      <c r="B304" s="56">
        <v>0</v>
      </c>
      <c r="C304" t="s">
        <v>114</v>
      </c>
      <c r="D304" s="63" t="s">
        <v>132</v>
      </c>
      <c r="E304" s="56">
        <v>0</v>
      </c>
    </row>
    <row r="305" spans="1:5" ht="21.75">
      <c r="A305" s="56"/>
      <c r="B305" s="56">
        <v>800</v>
      </c>
      <c r="C305" t="s">
        <v>115</v>
      </c>
      <c r="D305" s="63" t="s">
        <v>133</v>
      </c>
      <c r="E305" s="56">
        <v>0</v>
      </c>
    </row>
    <row r="306" spans="1:5" ht="21.75">
      <c r="A306" s="56">
        <v>70000</v>
      </c>
      <c r="B306" s="56">
        <f>4000+E306+12000</f>
        <v>36917.15</v>
      </c>
      <c r="C306" t="s">
        <v>48</v>
      </c>
      <c r="D306" s="63" t="s">
        <v>134</v>
      </c>
      <c r="E306" s="56">
        <v>20917.15</v>
      </c>
    </row>
    <row r="307" spans="1:5" ht="21.75">
      <c r="A307" s="56">
        <f>590000+982800+350000+4746090+5000+15000+25000</f>
        <v>6713890</v>
      </c>
      <c r="B307" s="56">
        <f>1912829.69+E307</f>
        <v>2530769.04</v>
      </c>
      <c r="C307" t="s">
        <v>116</v>
      </c>
      <c r="D307" s="63" t="s">
        <v>135</v>
      </c>
      <c r="E307" s="82">
        <v>617939.35</v>
      </c>
    </row>
    <row r="308" spans="1:5" ht="21.75">
      <c r="A308" s="56">
        <v>4124000</v>
      </c>
      <c r="B308" s="56">
        <f>+E308</f>
        <v>1958582</v>
      </c>
      <c r="C308" t="s">
        <v>19</v>
      </c>
      <c r="D308" s="63" t="s">
        <v>136</v>
      </c>
      <c r="E308" s="56">
        <v>1958582</v>
      </c>
    </row>
    <row r="309" spans="1:5" ht="22.5" thickBot="1">
      <c r="A309" s="57">
        <f>SUM(A302:A308)</f>
        <v>10982890</v>
      </c>
      <c r="B309" s="57">
        <f>SUM(B302:B308)</f>
        <v>4641141.42</v>
      </c>
      <c r="C309" s="53"/>
      <c r="D309" s="45"/>
      <c r="E309" s="61">
        <f>SUM(E302:E308)</f>
        <v>2632987.1</v>
      </c>
    </row>
    <row r="310" spans="2:5" ht="22.5" thickTop="1">
      <c r="B310" s="58">
        <f>+E310</f>
        <v>0</v>
      </c>
      <c r="C310" t="s">
        <v>28</v>
      </c>
      <c r="D310" s="45"/>
      <c r="E310" s="56"/>
    </row>
    <row r="311" spans="2:5" ht="21.75">
      <c r="B311" s="56">
        <f>5500+E311</f>
        <v>5500</v>
      </c>
      <c r="C311" t="s">
        <v>30</v>
      </c>
      <c r="D311" s="45">
        <v>700</v>
      </c>
      <c r="E311" s="56">
        <v>0</v>
      </c>
    </row>
    <row r="312" spans="2:5" ht="21.75">
      <c r="B312" s="56">
        <f>605083+80100+696048+E312</f>
        <v>1719031</v>
      </c>
      <c r="C312" s="109" t="s">
        <v>124</v>
      </c>
      <c r="D312" s="110" t="s">
        <v>137</v>
      </c>
      <c r="E312" s="111">
        <v>337800</v>
      </c>
    </row>
    <row r="313" spans="2:5" ht="21.75">
      <c r="B313" s="56">
        <f>+E313</f>
        <v>0</v>
      </c>
      <c r="C313" t="s">
        <v>123</v>
      </c>
      <c r="D313" s="45">
        <v>600</v>
      </c>
      <c r="E313" s="56">
        <v>0</v>
      </c>
    </row>
    <row r="314" spans="2:5" ht="21.75">
      <c r="B314" s="56">
        <f>+E314</f>
        <v>0</v>
      </c>
      <c r="C314" t="s">
        <v>117</v>
      </c>
      <c r="D314" s="45">
        <v>602</v>
      </c>
      <c r="E314" s="56">
        <v>0</v>
      </c>
    </row>
    <row r="315" spans="2:5" ht="21.75">
      <c r="B315" s="56">
        <f>215862.9+5888+E315</f>
        <v>236586.77</v>
      </c>
      <c r="C315" s="109" t="s">
        <v>118</v>
      </c>
      <c r="D315" s="112">
        <v>900</v>
      </c>
      <c r="E315" s="111">
        <v>14835.87</v>
      </c>
    </row>
    <row r="316" spans="1:5" ht="21.75">
      <c r="A316" s="200"/>
      <c r="B316" s="201">
        <f>359144+191000</f>
        <v>550144</v>
      </c>
      <c r="C316" s="200" t="s">
        <v>101</v>
      </c>
      <c r="D316" s="202">
        <v>704</v>
      </c>
      <c r="E316" s="201">
        <v>0</v>
      </c>
    </row>
    <row r="317" spans="2:5" ht="21.75">
      <c r="B317" s="56">
        <f>7210+E317</f>
        <v>172210</v>
      </c>
      <c r="C317" t="s">
        <v>139</v>
      </c>
      <c r="D317" s="63" t="s">
        <v>138</v>
      </c>
      <c r="E317" s="56">
        <v>165000</v>
      </c>
    </row>
    <row r="318" spans="2:5" ht="21.75">
      <c r="B318" s="56"/>
      <c r="D318" s="45"/>
      <c r="E318" s="56"/>
    </row>
    <row r="319" spans="2:5" ht="21.75">
      <c r="B319" s="82" t="s">
        <v>219</v>
      </c>
      <c r="C319" s="53"/>
      <c r="D319" s="45"/>
      <c r="E319" s="56"/>
    </row>
    <row r="320" spans="2:5" ht="21.75">
      <c r="B320" s="56"/>
      <c r="C320" s="53"/>
      <c r="D320" s="45"/>
      <c r="E320" s="56"/>
    </row>
    <row r="321" spans="2:5" ht="21.75">
      <c r="B321" s="56">
        <f>+B310+B311+B312+B313+B314+B315+B316+B317</f>
        <v>2683471.77</v>
      </c>
      <c r="D321" s="45"/>
      <c r="E321" s="56">
        <f>+E310+E311+E312+E313+E314+E315+E316+E317</f>
        <v>517635.87</v>
      </c>
    </row>
    <row r="322" spans="2:5" ht="21.75">
      <c r="B322" s="60">
        <f>SUM(B309+B321)</f>
        <v>7324613.1899999995</v>
      </c>
      <c r="D322" s="46"/>
      <c r="E322" s="60">
        <f>SUM(E309+E321)</f>
        <v>3150622.97</v>
      </c>
    </row>
    <row r="323" spans="2:5" ht="21.75">
      <c r="B323" s="177"/>
      <c r="D323" s="178"/>
      <c r="E323" s="177"/>
    </row>
    <row r="324" spans="2:5" ht="21.75">
      <c r="B324" s="177"/>
      <c r="D324" s="178"/>
      <c r="E324" s="177"/>
    </row>
    <row r="325" spans="2:5" ht="21.75">
      <c r="B325" s="177"/>
      <c r="D325" s="178"/>
      <c r="E325" s="177"/>
    </row>
    <row r="326" spans="2:5" ht="21.75">
      <c r="B326" s="177"/>
      <c r="D326" s="178"/>
      <c r="E326" s="177"/>
    </row>
    <row r="327" spans="2:5" ht="15.75" customHeight="1">
      <c r="B327" s="203"/>
      <c r="C327" s="200"/>
      <c r="D327" s="178"/>
      <c r="E327" s="177"/>
    </row>
    <row r="328" spans="2:5" ht="15.75" customHeight="1">
      <c r="B328" s="203"/>
      <c r="C328" s="200"/>
      <c r="D328" s="178"/>
      <c r="E328" s="177"/>
    </row>
    <row r="329" spans="1:5" ht="21.75">
      <c r="A329" s="424">
        <v>2</v>
      </c>
      <c r="B329" s="424"/>
      <c r="C329" s="424"/>
      <c r="D329" s="424"/>
      <c r="E329" s="424"/>
    </row>
    <row r="330" spans="1:5" ht="16.5" customHeight="1">
      <c r="A330" s="425" t="s">
        <v>105</v>
      </c>
      <c r="B330" s="426"/>
      <c r="C330" s="48"/>
      <c r="D330" s="48"/>
      <c r="E330" s="49" t="s">
        <v>111</v>
      </c>
    </row>
    <row r="331" spans="1:5" ht="16.5" customHeight="1">
      <c r="A331" s="48" t="s">
        <v>106</v>
      </c>
      <c r="B331" s="48" t="s">
        <v>108</v>
      </c>
      <c r="C331" s="50" t="s">
        <v>2</v>
      </c>
      <c r="D331" s="50" t="s">
        <v>109</v>
      </c>
      <c r="E331" s="48" t="s">
        <v>108</v>
      </c>
    </row>
    <row r="332" spans="1:5" ht="16.5" customHeight="1" thickBot="1">
      <c r="A332" s="51" t="s">
        <v>107</v>
      </c>
      <c r="B332" s="51" t="s">
        <v>107</v>
      </c>
      <c r="C332" s="51"/>
      <c r="D332" s="51" t="s">
        <v>110</v>
      </c>
      <c r="E332" s="51" t="s">
        <v>107</v>
      </c>
    </row>
    <row r="333" spans="1:5" ht="22.5" thickTop="1">
      <c r="A333" s="55"/>
      <c r="B333" s="55"/>
      <c r="C333" s="59" t="s">
        <v>120</v>
      </c>
      <c r="D333" s="45"/>
      <c r="E333" s="56"/>
    </row>
    <row r="334" spans="1:5" ht="21.75">
      <c r="A334" s="56">
        <v>400000</v>
      </c>
      <c r="B334" s="56">
        <f>259680+E334</f>
        <v>458268</v>
      </c>
      <c r="C334" t="s">
        <v>22</v>
      </c>
      <c r="D334" s="65" t="s">
        <v>141</v>
      </c>
      <c r="E334" s="56">
        <f>79088+86500+33000</f>
        <v>198588</v>
      </c>
    </row>
    <row r="335" spans="1:5" ht="21.75">
      <c r="A335" s="56">
        <v>1495307</v>
      </c>
      <c r="B335" s="56">
        <f>594495.16+E335</f>
        <v>721645.16</v>
      </c>
      <c r="C335" t="s">
        <v>12</v>
      </c>
      <c r="D335" s="45">
        <v>100</v>
      </c>
      <c r="E335" s="56">
        <v>127150</v>
      </c>
    </row>
    <row r="336" spans="1:5" ht="21.75">
      <c r="A336" s="56">
        <v>169890</v>
      </c>
      <c r="B336" s="56">
        <f>73700+E336</f>
        <v>88440</v>
      </c>
      <c r="C336" t="s">
        <v>13</v>
      </c>
      <c r="D336" s="45">
        <v>120</v>
      </c>
      <c r="E336" s="56">
        <v>14740</v>
      </c>
    </row>
    <row r="337" spans="1:5" ht="21.75">
      <c r="A337" s="56">
        <v>114240</v>
      </c>
      <c r="B337" s="56">
        <f>24400+E337</f>
        <v>29280</v>
      </c>
      <c r="C337" t="s">
        <v>14</v>
      </c>
      <c r="D337" s="45">
        <v>130</v>
      </c>
      <c r="E337" s="56">
        <v>4880</v>
      </c>
    </row>
    <row r="338" spans="1:5" ht="21.75">
      <c r="A338" s="56">
        <v>1188030</v>
      </c>
      <c r="B338" s="56">
        <f>430125+E338</f>
        <v>515838</v>
      </c>
      <c r="C338" t="s">
        <v>15</v>
      </c>
      <c r="D338" s="45">
        <v>200</v>
      </c>
      <c r="E338" s="56">
        <v>85713</v>
      </c>
    </row>
    <row r="339" spans="1:5" ht="21.75">
      <c r="A339" s="56">
        <v>1546708</v>
      </c>
      <c r="B339" s="56">
        <f>246879.59+E339</f>
        <v>136547.59</v>
      </c>
      <c r="C339" t="s">
        <v>16</v>
      </c>
      <c r="D339" s="45">
        <v>250</v>
      </c>
      <c r="E339" s="56">
        <f>54668-165000</f>
        <v>-110332</v>
      </c>
    </row>
    <row r="340" spans="1:5" ht="21.75">
      <c r="A340" s="56">
        <v>234069</v>
      </c>
      <c r="B340" s="56">
        <f>33634.7+E340</f>
        <v>34914.7</v>
      </c>
      <c r="C340" t="s">
        <v>17</v>
      </c>
      <c r="D340" s="45">
        <v>270</v>
      </c>
      <c r="E340" s="56">
        <v>1280</v>
      </c>
    </row>
    <row r="341" spans="1:5" ht="21.75">
      <c r="A341" s="56">
        <v>68806</v>
      </c>
      <c r="B341" s="56">
        <f>25296+E341</f>
        <v>29255.52</v>
      </c>
      <c r="C341" t="s">
        <v>18</v>
      </c>
      <c r="D341" s="45">
        <v>300</v>
      </c>
      <c r="E341" s="56">
        <v>3959.52</v>
      </c>
    </row>
    <row r="342" spans="1:5" ht="21.75">
      <c r="A342" s="56">
        <v>675040</v>
      </c>
      <c r="B342" s="56">
        <f>38000+E342</f>
        <v>41264</v>
      </c>
      <c r="C342" t="s">
        <v>19</v>
      </c>
      <c r="D342" s="45">
        <v>400</v>
      </c>
      <c r="E342" s="56">
        <v>3264</v>
      </c>
    </row>
    <row r="343" spans="1:5" ht="21.75">
      <c r="A343" s="56">
        <v>463800</v>
      </c>
      <c r="B343" s="56">
        <v>45881.59</v>
      </c>
      <c r="C343" t="s">
        <v>20</v>
      </c>
      <c r="D343" s="45">
        <v>450</v>
      </c>
      <c r="E343" s="56">
        <v>0</v>
      </c>
    </row>
    <row r="344" spans="1:5" ht="21.75">
      <c r="A344" s="56">
        <f>2029000+4124000</f>
        <v>6153000</v>
      </c>
      <c r="B344" s="56">
        <v>0</v>
      </c>
      <c r="C344" t="s">
        <v>21</v>
      </c>
      <c r="D344" s="45">
        <v>500</v>
      </c>
      <c r="E344" s="56">
        <v>0</v>
      </c>
    </row>
    <row r="345" spans="1:5" ht="21.75">
      <c r="A345" s="56"/>
      <c r="B345" s="56">
        <f>36000+E345</f>
        <v>43000</v>
      </c>
      <c r="C345" t="s">
        <v>121</v>
      </c>
      <c r="D345" s="45">
        <v>550</v>
      </c>
      <c r="E345" s="56">
        <v>7000</v>
      </c>
    </row>
    <row r="346" spans="1:5" ht="30" thickBot="1">
      <c r="A346" s="57">
        <f>SUM(A334:A344)</f>
        <v>12508890</v>
      </c>
      <c r="B346" s="57">
        <f>SUM(B334:B345)</f>
        <v>2144334.56</v>
      </c>
      <c r="C346" s="176"/>
      <c r="D346" s="45"/>
      <c r="E346" s="57">
        <f>SUM(E334:E345)</f>
        <v>336242.52</v>
      </c>
    </row>
    <row r="347" spans="2:5" ht="22.5" thickTop="1">
      <c r="B347" s="58">
        <f>75000+891000</f>
        <v>966000</v>
      </c>
      <c r="C347" t="s">
        <v>28</v>
      </c>
      <c r="D347" s="45"/>
      <c r="E347" s="56">
        <v>0</v>
      </c>
    </row>
    <row r="348" spans="1:5" ht="21.75">
      <c r="A348" s="183"/>
      <c r="B348" s="184">
        <v>467932</v>
      </c>
      <c r="C348" s="185" t="s">
        <v>30</v>
      </c>
      <c r="D348" s="186">
        <v>700</v>
      </c>
      <c r="E348" s="184">
        <v>0</v>
      </c>
    </row>
    <row r="349" spans="1:5" ht="21.75">
      <c r="A349" s="200"/>
      <c r="B349" s="201">
        <f>866934+E349</f>
        <v>945622</v>
      </c>
      <c r="C349" s="204" t="s">
        <v>124</v>
      </c>
      <c r="D349" s="205">
        <v>3002</v>
      </c>
      <c r="E349" s="206">
        <v>78688</v>
      </c>
    </row>
    <row r="350" spans="2:5" ht="21.75">
      <c r="B350" s="182">
        <f>1644462.52+E350</f>
        <v>1871680.04</v>
      </c>
      <c r="C350" t="s">
        <v>122</v>
      </c>
      <c r="D350" s="45">
        <v>600</v>
      </c>
      <c r="E350" s="56">
        <v>227217.52</v>
      </c>
    </row>
    <row r="351" spans="2:5" ht="21.75">
      <c r="B351" s="182">
        <v>310110</v>
      </c>
      <c r="C351" t="s">
        <v>117</v>
      </c>
      <c r="D351" s="45">
        <v>602</v>
      </c>
      <c r="E351" s="56">
        <v>0</v>
      </c>
    </row>
    <row r="352" spans="2:5" ht="21.75">
      <c r="B352" s="56">
        <f>417158.74+E352</f>
        <v>473723.27999999997</v>
      </c>
      <c r="C352" s="109" t="s">
        <v>118</v>
      </c>
      <c r="D352" s="112">
        <v>900</v>
      </c>
      <c r="E352" s="111">
        <v>56564.54</v>
      </c>
    </row>
    <row r="353" spans="1:5" ht="21.75">
      <c r="A353" s="196"/>
      <c r="B353" s="197">
        <v>550144</v>
      </c>
      <c r="C353" s="198" t="s">
        <v>101</v>
      </c>
      <c r="D353" s="199">
        <v>704</v>
      </c>
      <c r="E353" s="197">
        <v>0</v>
      </c>
    </row>
    <row r="354" spans="2:5" ht="21.75">
      <c r="B354" s="56">
        <f>+E354</f>
        <v>33000</v>
      </c>
      <c r="C354" t="s">
        <v>140</v>
      </c>
      <c r="D354" s="63" t="s">
        <v>138</v>
      </c>
      <c r="E354" s="56">
        <v>33000</v>
      </c>
    </row>
    <row r="355" spans="2:5" ht="21.75">
      <c r="B355" s="56"/>
      <c r="D355" s="45"/>
      <c r="E355" s="56"/>
    </row>
    <row r="356" spans="2:5" ht="21.75">
      <c r="B356" s="60">
        <f>SUM(B347:B355)</f>
        <v>5618211.32</v>
      </c>
      <c r="D356" s="45"/>
      <c r="E356" s="60">
        <f>SUM(E347:E355)</f>
        <v>395470.06</v>
      </c>
    </row>
    <row r="357" spans="2:5" ht="21.75">
      <c r="B357" s="60">
        <f>+B346+B356</f>
        <v>7762545.880000001</v>
      </c>
      <c r="C357" s="44" t="s">
        <v>125</v>
      </c>
      <c r="D357" s="45"/>
      <c r="E357" s="60">
        <f>+E346+E356</f>
        <v>731712.5800000001</v>
      </c>
    </row>
    <row r="358" spans="2:5" ht="17.25" customHeight="1">
      <c r="B358" s="56"/>
      <c r="C358" s="32" t="s">
        <v>126</v>
      </c>
      <c r="D358" s="45"/>
      <c r="E358" s="56"/>
    </row>
    <row r="359" spans="2:5" ht="17.25" customHeight="1">
      <c r="B359" s="56">
        <f>+B322-B357</f>
        <v>-437932.69000000134</v>
      </c>
      <c r="C359" s="44" t="s">
        <v>127</v>
      </c>
      <c r="D359" s="45"/>
      <c r="E359" s="56">
        <f>SUM(E322-E357)</f>
        <v>2418910.39</v>
      </c>
    </row>
    <row r="360" spans="2:5" ht="17.25" customHeight="1">
      <c r="B360" s="56"/>
      <c r="C360" s="32" t="s">
        <v>128</v>
      </c>
      <c r="D360" s="45"/>
      <c r="E360" s="56"/>
    </row>
    <row r="361" spans="2:5" ht="32.25" customHeight="1">
      <c r="B361" s="222">
        <f>SUM(B300+B322-B357)</f>
        <v>9892663.610000001</v>
      </c>
      <c r="C361" s="44" t="s">
        <v>129</v>
      </c>
      <c r="D361" s="46"/>
      <c r="E361" s="222">
        <f>+E300+E322-E357</f>
        <v>9892663.61</v>
      </c>
    </row>
    <row r="362" spans="2:5" ht="25.5" customHeight="1">
      <c r="B362" s="177"/>
      <c r="C362" s="44"/>
      <c r="D362" s="178"/>
      <c r="E362" s="177">
        <f>+E361-B361</f>
        <v>0</v>
      </c>
    </row>
    <row r="363" ht="24" customHeight="1">
      <c r="A363" t="s">
        <v>250</v>
      </c>
    </row>
    <row r="364" spans="1:4" ht="23.25" customHeight="1">
      <c r="A364" t="s">
        <v>144</v>
      </c>
      <c r="C364" t="s">
        <v>251</v>
      </c>
      <c r="D364" t="s">
        <v>249</v>
      </c>
    </row>
    <row r="365" spans="1:5" ht="21.75">
      <c r="A365" s="47" t="s">
        <v>102</v>
      </c>
      <c r="D365" s="427" t="s">
        <v>195</v>
      </c>
      <c r="E365" s="427"/>
    </row>
    <row r="366" ht="21.75">
      <c r="A366" s="47" t="s">
        <v>103</v>
      </c>
    </row>
    <row r="367" spans="1:5" ht="23.25">
      <c r="A367" s="456" t="s">
        <v>104</v>
      </c>
      <c r="B367" s="456"/>
      <c r="C367" s="456"/>
      <c r="D367" s="456"/>
      <c r="E367" s="456"/>
    </row>
    <row r="368" spans="1:5" ht="21.75">
      <c r="A368" s="428" t="s">
        <v>252</v>
      </c>
      <c r="B368" s="428"/>
      <c r="C368" s="428"/>
      <c r="D368" s="428"/>
      <c r="E368" s="428"/>
    </row>
    <row r="369" spans="1:5" ht="21.75">
      <c r="A369" s="425" t="s">
        <v>105</v>
      </c>
      <c r="B369" s="426"/>
      <c r="C369" s="48"/>
      <c r="D369" s="48"/>
      <c r="E369" s="49" t="s">
        <v>111</v>
      </c>
    </row>
    <row r="370" spans="1:5" ht="21.75">
      <c r="A370" s="48" t="s">
        <v>106</v>
      </c>
      <c r="B370" s="48" t="s">
        <v>108</v>
      </c>
      <c r="C370" s="50" t="s">
        <v>2</v>
      </c>
      <c r="D370" s="50" t="s">
        <v>109</v>
      </c>
      <c r="E370" s="48" t="s">
        <v>108</v>
      </c>
    </row>
    <row r="371" spans="1:5" ht="22.5" thickBot="1">
      <c r="A371" s="51" t="s">
        <v>107</v>
      </c>
      <c r="B371" s="51" t="s">
        <v>107</v>
      </c>
      <c r="C371" s="51"/>
      <c r="D371" s="51" t="s">
        <v>110</v>
      </c>
      <c r="E371" s="51" t="s">
        <v>107</v>
      </c>
    </row>
    <row r="372" spans="1:5" s="148" customFormat="1" ht="21.75" thickTop="1">
      <c r="A372" s="223"/>
      <c r="B372" s="224">
        <f>10373005.25-42408.95</f>
        <v>10330596.3</v>
      </c>
      <c r="C372" s="225" t="s">
        <v>52</v>
      </c>
      <c r="D372" s="226"/>
      <c r="E372" s="227">
        <v>9892663.61</v>
      </c>
    </row>
    <row r="373" spans="1:5" ht="21.75">
      <c r="A373" s="55"/>
      <c r="B373" s="55"/>
      <c r="C373" s="59" t="s">
        <v>119</v>
      </c>
      <c r="D373" s="45"/>
      <c r="E373" s="56"/>
    </row>
    <row r="374" spans="1:5" ht="21.75">
      <c r="A374" s="56">
        <f>40000+25000+2000</f>
        <v>67000</v>
      </c>
      <c r="B374" s="56">
        <v>83340.93</v>
      </c>
      <c r="C374" t="s">
        <v>112</v>
      </c>
      <c r="D374" s="63" t="s">
        <v>130</v>
      </c>
      <c r="E374" s="82">
        <v>13947.3</v>
      </c>
    </row>
    <row r="375" spans="1:5" ht="21.75">
      <c r="A375" s="56"/>
      <c r="B375" s="56">
        <v>44679.6</v>
      </c>
      <c r="C375" t="s">
        <v>113</v>
      </c>
      <c r="D375" s="63" t="s">
        <v>131</v>
      </c>
      <c r="E375" s="56">
        <v>0</v>
      </c>
    </row>
    <row r="376" spans="1:5" ht="21.75">
      <c r="A376" s="56">
        <f>3000+5000</f>
        <v>8000</v>
      </c>
      <c r="B376" s="56">
        <v>0</v>
      </c>
      <c r="C376" t="s">
        <v>114</v>
      </c>
      <c r="D376" s="63" t="s">
        <v>132</v>
      </c>
      <c r="E376" s="56">
        <v>0</v>
      </c>
    </row>
    <row r="377" spans="1:5" ht="21.75">
      <c r="A377" s="56"/>
      <c r="B377" s="56">
        <f>25500-24700</f>
        <v>800</v>
      </c>
      <c r="C377" t="s">
        <v>115</v>
      </c>
      <c r="D377" s="63" t="s">
        <v>133</v>
      </c>
      <c r="E377" s="56">
        <v>0</v>
      </c>
    </row>
    <row r="378" spans="1:5" ht="21.75">
      <c r="A378" s="56">
        <v>70000</v>
      </c>
      <c r="B378" s="56">
        <f>36917.15+E378</f>
        <v>61617.15</v>
      </c>
      <c r="C378" t="s">
        <v>48</v>
      </c>
      <c r="D378" s="63" t="s">
        <v>134</v>
      </c>
      <c r="E378" s="56">
        <v>24700</v>
      </c>
    </row>
    <row r="379" spans="1:5" ht="21.75">
      <c r="A379" s="56">
        <f>590000+982800+350000+4746090+5000+15000+25000</f>
        <v>6713890</v>
      </c>
      <c r="B379" s="56">
        <v>2559453.04</v>
      </c>
      <c r="C379" t="s">
        <v>116</v>
      </c>
      <c r="D379" s="63" t="s">
        <v>135</v>
      </c>
      <c r="E379" s="82">
        <v>28684</v>
      </c>
    </row>
    <row r="380" spans="1:5" ht="21.75">
      <c r="A380" s="56">
        <v>4124000</v>
      </c>
      <c r="B380" s="56">
        <v>1958582</v>
      </c>
      <c r="C380" t="s">
        <v>19</v>
      </c>
      <c r="D380" s="63" t="s">
        <v>136</v>
      </c>
      <c r="E380" s="56">
        <v>0</v>
      </c>
    </row>
    <row r="381" spans="1:5" ht="22.5" thickBot="1">
      <c r="A381" s="57">
        <f>SUM(A374:A380)</f>
        <v>10982890</v>
      </c>
      <c r="B381" s="57">
        <f>SUM(B374:B380)</f>
        <v>4708472.720000001</v>
      </c>
      <c r="C381" s="53"/>
      <c r="D381" s="45"/>
      <c r="E381" s="61">
        <f>SUM(E374:E380)</f>
        <v>67331.3</v>
      </c>
    </row>
    <row r="382" spans="2:5" ht="22.5" thickTop="1">
      <c r="B382" s="58">
        <f>+E382</f>
        <v>0</v>
      </c>
      <c r="C382" t="s">
        <v>28</v>
      </c>
      <c r="D382" s="45"/>
      <c r="E382" s="56"/>
    </row>
    <row r="383" spans="2:5" ht="21.75">
      <c r="B383" s="56">
        <v>5500</v>
      </c>
      <c r="C383" t="s">
        <v>30</v>
      </c>
      <c r="D383" s="45">
        <v>700</v>
      </c>
      <c r="E383" s="56">
        <v>0</v>
      </c>
    </row>
    <row r="384" spans="2:5" ht="21.75">
      <c r="B384" s="56">
        <v>2562406</v>
      </c>
      <c r="C384" s="109" t="s">
        <v>124</v>
      </c>
      <c r="D384" s="110" t="s">
        <v>137</v>
      </c>
      <c r="E384" s="111">
        <v>843375</v>
      </c>
    </row>
    <row r="385" spans="2:5" ht="21.75">
      <c r="B385" s="56">
        <v>0</v>
      </c>
      <c r="C385" t="s">
        <v>123</v>
      </c>
      <c r="D385" s="45">
        <v>600</v>
      </c>
      <c r="E385" s="56">
        <v>0</v>
      </c>
    </row>
    <row r="386" spans="2:5" ht="21.75">
      <c r="B386" s="56">
        <v>0</v>
      </c>
      <c r="C386" t="s">
        <v>117</v>
      </c>
      <c r="D386" s="45">
        <v>602</v>
      </c>
      <c r="E386" s="56">
        <v>0</v>
      </c>
    </row>
    <row r="387" spans="2:5" ht="21.75">
      <c r="B387" s="56">
        <v>260791.16</v>
      </c>
      <c r="C387" s="109" t="s">
        <v>118</v>
      </c>
      <c r="D387" s="112">
        <v>900</v>
      </c>
      <c r="E387" s="111">
        <v>24204.39</v>
      </c>
    </row>
    <row r="388" spans="1:5" ht="21.75">
      <c r="A388" s="200"/>
      <c r="B388" s="201">
        <v>550144</v>
      </c>
      <c r="C388" s="200" t="s">
        <v>101</v>
      </c>
      <c r="D388" s="202">
        <v>704</v>
      </c>
      <c r="E388" s="201"/>
    </row>
    <row r="389" spans="2:5" ht="21.75">
      <c r="B389" s="56">
        <f>172210</f>
        <v>172210</v>
      </c>
      <c r="C389" t="s">
        <v>139</v>
      </c>
      <c r="D389" s="63" t="s">
        <v>138</v>
      </c>
      <c r="E389" s="56"/>
    </row>
    <row r="390" spans="2:5" ht="21.75">
      <c r="B390" s="56"/>
      <c r="D390" s="45"/>
      <c r="E390" s="56"/>
    </row>
    <row r="391" spans="2:5" ht="21.75">
      <c r="B391" s="82" t="s">
        <v>219</v>
      </c>
      <c r="C391" s="53"/>
      <c r="D391" s="45"/>
      <c r="E391" s="56"/>
    </row>
    <row r="392" spans="2:5" ht="21.75">
      <c r="B392" s="56"/>
      <c r="C392" s="53"/>
      <c r="D392" s="45"/>
      <c r="E392" s="56"/>
    </row>
    <row r="393" spans="2:5" ht="21.75">
      <c r="B393" s="56">
        <f>+B382+B383+B384+B385+B386+B387+B388+B389</f>
        <v>3551051.16</v>
      </c>
      <c r="D393" s="45"/>
      <c r="E393" s="56">
        <f>+E382+E383+E384+E385+E386+E387+E388+E389</f>
        <v>867579.39</v>
      </c>
    </row>
    <row r="394" spans="2:5" ht="21.75">
      <c r="B394" s="60">
        <f>SUM(B381+B393)</f>
        <v>8259523.880000001</v>
      </c>
      <c r="D394" s="46"/>
      <c r="E394" s="60">
        <f>SUM(E381+E393)</f>
        <v>934910.6900000001</v>
      </c>
    </row>
    <row r="395" spans="2:5" ht="21.75">
      <c r="B395" s="177"/>
      <c r="D395" s="178"/>
      <c r="E395" s="177"/>
    </row>
    <row r="396" spans="2:5" ht="27" customHeight="1">
      <c r="B396" s="203"/>
      <c r="C396" s="200"/>
      <c r="D396" s="178"/>
      <c r="E396" s="177"/>
    </row>
    <row r="397" spans="2:5" ht="27" customHeight="1">
      <c r="B397" s="203"/>
      <c r="C397" s="200"/>
      <c r="D397" s="178"/>
      <c r="E397" s="177"/>
    </row>
    <row r="398" spans="2:5" ht="27" customHeight="1">
      <c r="B398" s="203"/>
      <c r="C398" s="200"/>
      <c r="D398" s="178"/>
      <c r="E398" s="177"/>
    </row>
    <row r="399" spans="2:5" ht="27" customHeight="1">
      <c r="B399" s="203"/>
      <c r="C399" s="200"/>
      <c r="D399" s="178"/>
      <c r="E399" s="177"/>
    </row>
    <row r="400" spans="1:5" ht="21.75">
      <c r="A400" s="424">
        <v>2</v>
      </c>
      <c r="B400" s="424"/>
      <c r="C400" s="424"/>
      <c r="D400" s="424"/>
      <c r="E400" s="424"/>
    </row>
    <row r="401" spans="1:5" ht="21.75">
      <c r="A401" s="425" t="s">
        <v>105</v>
      </c>
      <c r="B401" s="426"/>
      <c r="C401" s="48"/>
      <c r="D401" s="48"/>
      <c r="E401" s="49" t="s">
        <v>111</v>
      </c>
    </row>
    <row r="402" spans="1:5" ht="21.75">
      <c r="A402" s="48" t="s">
        <v>106</v>
      </c>
      <c r="B402" s="48" t="s">
        <v>108</v>
      </c>
      <c r="C402" s="50" t="s">
        <v>2</v>
      </c>
      <c r="D402" s="50" t="s">
        <v>109</v>
      </c>
      <c r="E402" s="48" t="s">
        <v>108</v>
      </c>
    </row>
    <row r="403" spans="1:5" ht="22.5" thickBot="1">
      <c r="A403" s="51" t="s">
        <v>107</v>
      </c>
      <c r="B403" s="51" t="s">
        <v>107</v>
      </c>
      <c r="C403" s="51"/>
      <c r="D403" s="51" t="s">
        <v>110</v>
      </c>
      <c r="E403" s="51" t="s">
        <v>107</v>
      </c>
    </row>
    <row r="404" spans="1:5" ht="22.5" thickTop="1">
      <c r="A404" s="55"/>
      <c r="B404" s="55"/>
      <c r="C404" s="59" t="s">
        <v>120</v>
      </c>
      <c r="D404" s="45"/>
      <c r="E404" s="56"/>
    </row>
    <row r="405" spans="1:5" ht="21.75">
      <c r="A405" s="56">
        <v>400000</v>
      </c>
      <c r="B405" s="56">
        <f>458268+E405</f>
        <v>541956</v>
      </c>
      <c r="C405" t="s">
        <v>22</v>
      </c>
      <c r="D405" s="65" t="s">
        <v>141</v>
      </c>
      <c r="E405" s="56">
        <v>83688</v>
      </c>
    </row>
    <row r="406" spans="1:5" ht="21.75">
      <c r="A406" s="56">
        <v>1495307</v>
      </c>
      <c r="B406" s="56">
        <v>850065.16</v>
      </c>
      <c r="C406" t="s">
        <v>12</v>
      </c>
      <c r="D406" s="45">
        <v>100</v>
      </c>
      <c r="E406" s="56">
        <v>128420</v>
      </c>
    </row>
    <row r="407" spans="1:5" ht="21.75">
      <c r="A407" s="56">
        <v>169890</v>
      </c>
      <c r="B407" s="56">
        <v>103500</v>
      </c>
      <c r="C407" t="s">
        <v>13</v>
      </c>
      <c r="D407" s="45">
        <v>120</v>
      </c>
      <c r="E407" s="56">
        <v>15060</v>
      </c>
    </row>
    <row r="408" spans="1:5" ht="21.75">
      <c r="A408" s="56">
        <v>114240</v>
      </c>
      <c r="B408" s="56">
        <v>34160</v>
      </c>
      <c r="C408" t="s">
        <v>14</v>
      </c>
      <c r="D408" s="45">
        <v>130</v>
      </c>
      <c r="E408" s="56">
        <v>4880</v>
      </c>
    </row>
    <row r="409" spans="1:5" ht="21.75">
      <c r="A409" s="56">
        <v>1188030</v>
      </c>
      <c r="B409" s="56">
        <v>595511</v>
      </c>
      <c r="C409" t="s">
        <v>15</v>
      </c>
      <c r="D409" s="45">
        <v>200</v>
      </c>
      <c r="E409" s="56">
        <v>79673</v>
      </c>
    </row>
    <row r="410" spans="1:5" ht="21.75">
      <c r="A410" s="56">
        <v>1546708</v>
      </c>
      <c r="B410" s="201">
        <f>136547.59+E410</f>
        <v>254810.59</v>
      </c>
      <c r="C410" t="s">
        <v>16</v>
      </c>
      <c r="D410" s="45">
        <v>250</v>
      </c>
      <c r="E410" s="56">
        <f>114643+3620</f>
        <v>118263</v>
      </c>
    </row>
    <row r="411" spans="1:5" ht="21.75">
      <c r="A411" s="56">
        <v>234069</v>
      </c>
      <c r="B411" s="56">
        <v>34914.7</v>
      </c>
      <c r="C411" t="s">
        <v>17</v>
      </c>
      <c r="D411" s="45">
        <v>270</v>
      </c>
      <c r="E411" s="56">
        <v>0</v>
      </c>
    </row>
    <row r="412" spans="1:5" ht="21.75">
      <c r="A412" s="56">
        <v>68806</v>
      </c>
      <c r="B412" s="56">
        <v>33599.79</v>
      </c>
      <c r="C412" t="s">
        <v>18</v>
      </c>
      <c r="D412" s="45">
        <v>300</v>
      </c>
      <c r="E412" s="56">
        <v>4344.27</v>
      </c>
    </row>
    <row r="413" spans="1:5" ht="21.75">
      <c r="A413" s="56">
        <v>675040</v>
      </c>
      <c r="B413" s="56">
        <v>41264</v>
      </c>
      <c r="C413" t="s">
        <v>19</v>
      </c>
      <c r="D413" s="45">
        <v>400</v>
      </c>
      <c r="E413" s="56">
        <v>0</v>
      </c>
    </row>
    <row r="414" spans="1:5" ht="21.75">
      <c r="A414" s="56">
        <v>463800</v>
      </c>
      <c r="B414" s="56">
        <v>45881.59</v>
      </c>
      <c r="C414" t="s">
        <v>20</v>
      </c>
      <c r="D414" s="45">
        <v>450</v>
      </c>
      <c r="E414" s="56">
        <v>0</v>
      </c>
    </row>
    <row r="415" spans="1:5" ht="21.75">
      <c r="A415" s="56">
        <f>2029000+4124000</f>
        <v>6153000</v>
      </c>
      <c r="B415" s="56">
        <v>0</v>
      </c>
      <c r="C415" t="s">
        <v>21</v>
      </c>
      <c r="D415" s="45">
        <v>500</v>
      </c>
      <c r="E415" s="56">
        <v>0</v>
      </c>
    </row>
    <row r="416" spans="1:5" ht="21.75">
      <c r="A416" s="56"/>
      <c r="B416" s="56">
        <v>50000</v>
      </c>
      <c r="C416" t="s">
        <v>121</v>
      </c>
      <c r="D416" s="45">
        <v>550</v>
      </c>
      <c r="E416" s="56">
        <v>7000</v>
      </c>
    </row>
    <row r="417" spans="1:5" ht="24.75" customHeight="1" thickBot="1">
      <c r="A417" s="57">
        <f>SUM(A405:A415)</f>
        <v>12508890</v>
      </c>
      <c r="B417" s="57">
        <f>SUM(B405:B416)</f>
        <v>2585662.83</v>
      </c>
      <c r="C417" s="176"/>
      <c r="D417" s="45"/>
      <c r="E417" s="57">
        <f>SUM(E405:E416)</f>
        <v>441328.27</v>
      </c>
    </row>
    <row r="418" spans="2:5" ht="22.5" thickTop="1">
      <c r="B418" s="58">
        <f>75000+891000</f>
        <v>966000</v>
      </c>
      <c r="C418" t="s">
        <v>28</v>
      </c>
      <c r="D418" s="45"/>
      <c r="E418" s="56">
        <v>0</v>
      </c>
    </row>
    <row r="419" spans="1:5" ht="21.75">
      <c r="A419" s="183"/>
      <c r="B419" s="184">
        <v>766270</v>
      </c>
      <c r="C419" s="185" t="s">
        <v>30</v>
      </c>
      <c r="D419" s="186">
        <v>700</v>
      </c>
      <c r="E419" s="184">
        <v>298338</v>
      </c>
    </row>
    <row r="420" spans="1:5" ht="21.75">
      <c r="A420" s="200"/>
      <c r="B420" s="201">
        <v>1713933.84</v>
      </c>
      <c r="C420" s="204" t="s">
        <v>124</v>
      </c>
      <c r="D420" s="205">
        <v>3002</v>
      </c>
      <c r="E420" s="206">
        <v>768311.84</v>
      </c>
    </row>
    <row r="421" spans="2:5" ht="21.75">
      <c r="B421" s="182">
        <v>1895540.34</v>
      </c>
      <c r="C421" t="s">
        <v>122</v>
      </c>
      <c r="D421" s="45">
        <v>600</v>
      </c>
      <c r="E421" s="56">
        <v>23860.3</v>
      </c>
    </row>
    <row r="422" spans="2:5" ht="21.75">
      <c r="B422" s="182">
        <v>360208.2</v>
      </c>
      <c r="C422" t="s">
        <v>117</v>
      </c>
      <c r="D422" s="45">
        <v>602</v>
      </c>
      <c r="E422" s="56">
        <v>50098.2</v>
      </c>
    </row>
    <row r="423" spans="2:5" ht="21.75">
      <c r="B423" s="56">
        <v>530065.24</v>
      </c>
      <c r="C423" s="109" t="s">
        <v>118</v>
      </c>
      <c r="D423" s="112">
        <v>900</v>
      </c>
      <c r="E423" s="111">
        <v>56341.96</v>
      </c>
    </row>
    <row r="424" spans="1:5" ht="21.75">
      <c r="A424" s="196"/>
      <c r="B424" s="197">
        <v>550144</v>
      </c>
      <c r="C424" s="198" t="s">
        <v>101</v>
      </c>
      <c r="D424" s="199">
        <v>704</v>
      </c>
      <c r="E424" s="197">
        <v>0</v>
      </c>
    </row>
    <row r="425" spans="2:5" ht="21.75">
      <c r="B425" s="56">
        <f>33000+E425</f>
        <v>40210</v>
      </c>
      <c r="C425" t="s">
        <v>140</v>
      </c>
      <c r="D425" s="63" t="s">
        <v>138</v>
      </c>
      <c r="E425" s="56">
        <v>7210</v>
      </c>
    </row>
    <row r="426" spans="2:5" ht="21.75">
      <c r="B426" s="56"/>
      <c r="D426" s="45"/>
      <c r="E426" s="56"/>
    </row>
    <row r="427" spans="2:5" ht="22.5" customHeight="1">
      <c r="B427" s="60">
        <f>SUM(B418:B426)</f>
        <v>6822371.62</v>
      </c>
      <c r="D427" s="45"/>
      <c r="E427" s="60">
        <f>SUM(E418:E426)</f>
        <v>1204160.2999999998</v>
      </c>
    </row>
    <row r="428" spans="2:5" ht="22.5" customHeight="1">
      <c r="B428" s="60">
        <f>+B417+B427</f>
        <v>9408034.45</v>
      </c>
      <c r="C428" s="44" t="s">
        <v>125</v>
      </c>
      <c r="D428" s="45"/>
      <c r="E428" s="60">
        <f>+E417+E427</f>
        <v>1645488.5699999998</v>
      </c>
    </row>
    <row r="429" spans="2:5" ht="18" customHeight="1">
      <c r="B429" s="56"/>
      <c r="C429" s="32" t="s">
        <v>126</v>
      </c>
      <c r="D429" s="45"/>
      <c r="E429" s="56"/>
    </row>
    <row r="430" spans="2:5" ht="18" customHeight="1">
      <c r="B430" s="56">
        <f>+B394-B428</f>
        <v>-1148510.5699999984</v>
      </c>
      <c r="C430" s="44" t="s">
        <v>127</v>
      </c>
      <c r="D430" s="45"/>
      <c r="E430" s="56">
        <f>SUM(E394-E428)</f>
        <v>-710577.8799999998</v>
      </c>
    </row>
    <row r="431" spans="2:5" ht="18" customHeight="1">
      <c r="B431" s="56"/>
      <c r="C431" s="32" t="s">
        <v>128</v>
      </c>
      <c r="D431" s="45"/>
      <c r="E431" s="56"/>
    </row>
    <row r="432" spans="2:5" s="148" customFormat="1" ht="30.75" customHeight="1">
      <c r="B432" s="222">
        <f>SUM(B372+B394-B428)</f>
        <v>9182085.73</v>
      </c>
      <c r="C432" s="229" t="s">
        <v>129</v>
      </c>
      <c r="D432" s="228"/>
      <c r="E432" s="222">
        <f>+E372+E394-E428</f>
        <v>9182085.729999999</v>
      </c>
    </row>
    <row r="433" spans="2:5" ht="21.75">
      <c r="B433" s="177"/>
      <c r="C433" s="44"/>
      <c r="D433" s="178"/>
      <c r="E433" s="177">
        <f>+B432-E432</f>
        <v>0</v>
      </c>
    </row>
    <row r="434" ht="24" customHeight="1">
      <c r="A434" t="s">
        <v>254</v>
      </c>
    </row>
    <row r="435" spans="1:4" ht="23.25" customHeight="1">
      <c r="A435" t="s">
        <v>144</v>
      </c>
      <c r="C435" t="s">
        <v>253</v>
      </c>
      <c r="D435" t="s">
        <v>233</v>
      </c>
    </row>
    <row r="436" ht="21.75">
      <c r="C436" t="s">
        <v>210</v>
      </c>
    </row>
  </sheetData>
  <mergeCells count="35">
    <mergeCell ref="A257:B257"/>
    <mergeCell ref="A368:E368"/>
    <mergeCell ref="A369:B369"/>
    <mergeCell ref="A400:E400"/>
    <mergeCell ref="A295:E295"/>
    <mergeCell ref="A296:E296"/>
    <mergeCell ref="A297:B297"/>
    <mergeCell ref="A401:B401"/>
    <mergeCell ref="A110:E110"/>
    <mergeCell ref="A111:B111"/>
    <mergeCell ref="D365:E365"/>
    <mergeCell ref="A367:E367"/>
    <mergeCell ref="A184:E184"/>
    <mergeCell ref="D147:E147"/>
    <mergeCell ref="A149:E149"/>
    <mergeCell ref="A150:E150"/>
    <mergeCell ref="A151:B151"/>
    <mergeCell ref="D1:E1"/>
    <mergeCell ref="A3:E3"/>
    <mergeCell ref="A329:E329"/>
    <mergeCell ref="A330:B330"/>
    <mergeCell ref="A185:B185"/>
    <mergeCell ref="D221:E221"/>
    <mergeCell ref="A223:E223"/>
    <mergeCell ref="A224:E224"/>
    <mergeCell ref="A225:B225"/>
    <mergeCell ref="D293:E293"/>
    <mergeCell ref="A4:E4"/>
    <mergeCell ref="A5:B5"/>
    <mergeCell ref="A37:E37"/>
    <mergeCell ref="A38:B38"/>
    <mergeCell ref="D74:E74"/>
    <mergeCell ref="A76:E76"/>
    <mergeCell ref="A77:E77"/>
    <mergeCell ref="A78:B78"/>
  </mergeCells>
  <printOptions/>
  <pageMargins left="0.67" right="0.38" top="0.61" bottom="0.71" header="0.5" footer="0.5"/>
  <pageSetup horizontalDpi="180" verticalDpi="18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46">
      <selection activeCell="A46" sqref="A1:IV16384"/>
    </sheetView>
  </sheetViews>
  <sheetFormatPr defaultColWidth="9.140625" defaultRowHeight="21.75"/>
  <cols>
    <col min="1" max="1" width="4.28125" style="115" customWidth="1"/>
    <col min="2" max="2" width="16.28125" style="115" customWidth="1"/>
    <col min="3" max="3" width="7.140625" style="115" customWidth="1"/>
    <col min="4" max="4" width="9.8515625" style="115" customWidth="1"/>
    <col min="5" max="5" width="17.421875" style="133" customWidth="1"/>
    <col min="6" max="6" width="6.28125" style="115" customWidth="1"/>
    <col min="7" max="7" width="18.8515625" style="115" customWidth="1"/>
    <col min="8" max="8" width="2.57421875" style="115" customWidth="1"/>
    <col min="9" max="9" width="21.00390625" style="115" customWidth="1"/>
    <col min="10" max="10" width="13.7109375" style="115" customWidth="1"/>
    <col min="11" max="16384" width="9.140625" style="115" customWidth="1"/>
  </cols>
  <sheetData>
    <row r="1" spans="1:10" ht="2.25" customHeight="1">
      <c r="A1" s="113"/>
      <c r="B1" s="113"/>
      <c r="C1" s="113"/>
      <c r="D1" s="113"/>
      <c r="E1" s="243"/>
      <c r="F1" s="114"/>
      <c r="G1" s="113"/>
      <c r="H1" s="113"/>
      <c r="I1" s="113"/>
      <c r="J1" s="113"/>
    </row>
    <row r="2" spans="1:10" s="119" customFormat="1" ht="18.75" customHeight="1">
      <c r="A2" s="458" t="s">
        <v>150</v>
      </c>
      <c r="B2" s="458"/>
      <c r="C2" s="458"/>
      <c r="D2" s="458"/>
      <c r="E2" s="459"/>
      <c r="F2" s="116"/>
      <c r="G2" s="117" t="s">
        <v>173</v>
      </c>
      <c r="H2" s="118"/>
      <c r="I2" s="117"/>
      <c r="J2" s="117"/>
    </row>
    <row r="3" spans="1:10" s="119" customFormat="1" ht="2.25" customHeight="1">
      <c r="A3" s="117"/>
      <c r="B3" s="117"/>
      <c r="C3" s="117"/>
      <c r="D3" s="117"/>
      <c r="E3" s="123"/>
      <c r="F3" s="116"/>
      <c r="G3" s="117"/>
      <c r="H3" s="117"/>
      <c r="I3" s="117"/>
      <c r="J3" s="117"/>
    </row>
    <row r="4" spans="1:10" s="119" customFormat="1" ht="24" customHeight="1">
      <c r="A4" s="460" t="s">
        <v>151</v>
      </c>
      <c r="B4" s="460"/>
      <c r="C4" s="460"/>
      <c r="D4" s="460"/>
      <c r="E4" s="461"/>
      <c r="F4" s="116"/>
      <c r="G4" s="117" t="s">
        <v>152</v>
      </c>
      <c r="H4" s="117" t="s">
        <v>153</v>
      </c>
      <c r="I4" s="117"/>
      <c r="J4" s="117"/>
    </row>
    <row r="5" spans="1:10" ht="2.25" customHeight="1">
      <c r="A5" s="120"/>
      <c r="B5" s="120"/>
      <c r="C5" s="120"/>
      <c r="D5" s="120"/>
      <c r="E5" s="244"/>
      <c r="F5" s="121"/>
      <c r="G5" s="120"/>
      <c r="H5" s="120"/>
      <c r="I5" s="120"/>
      <c r="J5" s="118"/>
    </row>
    <row r="6" spans="1:10" s="245" customFormat="1" ht="20.25" customHeight="1">
      <c r="A6" s="245" t="s">
        <v>172</v>
      </c>
      <c r="E6" s="246">
        <v>237682</v>
      </c>
      <c r="G6" s="247">
        <v>9621227.75</v>
      </c>
      <c r="I6" s="240" t="s">
        <v>154</v>
      </c>
      <c r="J6" s="241"/>
    </row>
    <row r="7" spans="5:10" s="245" customFormat="1" ht="0.75" customHeight="1">
      <c r="E7" s="242"/>
      <c r="G7" s="247">
        <v>10352423.65</v>
      </c>
      <c r="I7" s="240"/>
      <c r="J7" s="241"/>
    </row>
    <row r="8" spans="1:10" s="245" customFormat="1" ht="18.75">
      <c r="A8" s="248" t="s">
        <v>155</v>
      </c>
      <c r="B8" s="245" t="s">
        <v>156</v>
      </c>
      <c r="E8" s="242"/>
      <c r="I8" s="249"/>
      <c r="J8" s="250"/>
    </row>
    <row r="9" spans="1:10" s="119" customFormat="1" ht="3.75" customHeight="1">
      <c r="A9" s="124"/>
      <c r="E9" s="132"/>
      <c r="I9" s="116"/>
      <c r="J9" s="117"/>
    </row>
    <row r="10" spans="2:10" s="138" customFormat="1" ht="18" customHeight="1">
      <c r="B10" s="138" t="s">
        <v>157</v>
      </c>
      <c r="E10" s="138" t="s">
        <v>158</v>
      </c>
      <c r="G10" s="138" t="s">
        <v>159</v>
      </c>
      <c r="I10" s="139"/>
      <c r="J10" s="140"/>
    </row>
    <row r="11" spans="2:10" ht="18" customHeight="1">
      <c r="B11" s="128" t="s">
        <v>160</v>
      </c>
      <c r="E11" s="128" t="s">
        <v>160</v>
      </c>
      <c r="G11" s="129">
        <v>0</v>
      </c>
      <c r="I11" s="130"/>
      <c r="J11" s="131"/>
    </row>
    <row r="12" spans="2:10" ht="3" customHeight="1">
      <c r="B12" s="128"/>
      <c r="E12" s="128"/>
      <c r="G12" s="129"/>
      <c r="I12" s="130"/>
      <c r="J12" s="118"/>
    </row>
    <row r="13" spans="1:10" s="119" customFormat="1" ht="21">
      <c r="A13" s="124" t="s">
        <v>174</v>
      </c>
      <c r="B13" s="119" t="s">
        <v>161</v>
      </c>
      <c r="E13" s="132"/>
      <c r="F13" s="119">
        <v>30</v>
      </c>
      <c r="G13" s="132" t="s">
        <v>162</v>
      </c>
      <c r="I13" s="116"/>
      <c r="J13" s="117"/>
    </row>
    <row r="14" spans="9:10" ht="3.75" customHeight="1">
      <c r="I14" s="130"/>
      <c r="J14" s="118"/>
    </row>
    <row r="15" spans="2:10" s="125" customFormat="1" ht="21">
      <c r="B15" s="125" t="s">
        <v>163</v>
      </c>
      <c r="E15" s="125" t="s">
        <v>164</v>
      </c>
      <c r="G15" s="125" t="s">
        <v>159</v>
      </c>
      <c r="I15" s="126"/>
      <c r="J15" s="127"/>
    </row>
    <row r="16" spans="2:10" s="251" customFormat="1" ht="15.75" customHeight="1">
      <c r="B16" s="252">
        <v>237636</v>
      </c>
      <c r="E16" s="253">
        <v>6670054</v>
      </c>
      <c r="G16" s="254">
        <v>860</v>
      </c>
      <c r="I16" s="255"/>
      <c r="J16" s="256"/>
    </row>
    <row r="17" spans="2:10" s="251" customFormat="1" ht="15.75" customHeight="1">
      <c r="B17" s="252">
        <v>237656</v>
      </c>
      <c r="E17" s="257">
        <v>6670071</v>
      </c>
      <c r="G17" s="254">
        <v>8675</v>
      </c>
      <c r="I17" s="255"/>
      <c r="J17" s="256"/>
    </row>
    <row r="18" spans="2:10" s="251" customFormat="1" ht="15.75" customHeight="1">
      <c r="B18" s="252">
        <v>237663</v>
      </c>
      <c r="E18" s="257">
        <v>6670088</v>
      </c>
      <c r="G18" s="258">
        <v>13860</v>
      </c>
      <c r="I18" s="255"/>
      <c r="J18" s="256"/>
    </row>
    <row r="19" spans="2:10" s="251" customFormat="1" ht="15.75" customHeight="1">
      <c r="B19" s="252">
        <v>237665</v>
      </c>
      <c r="E19" s="253">
        <v>6670093</v>
      </c>
      <c r="G19" s="254">
        <v>1660</v>
      </c>
      <c r="I19" s="255"/>
      <c r="J19" s="256"/>
    </row>
    <row r="20" spans="2:10" s="251" customFormat="1" ht="15.75" customHeight="1">
      <c r="B20" s="252">
        <v>237677</v>
      </c>
      <c r="E20" s="257">
        <v>6670923</v>
      </c>
      <c r="G20" s="254">
        <v>7132.71</v>
      </c>
      <c r="I20" s="255"/>
      <c r="J20" s="256"/>
    </row>
    <row r="21" spans="2:10" s="251" customFormat="1" ht="15.75" customHeight="1">
      <c r="B21" s="252"/>
      <c r="E21" s="253">
        <v>6670929</v>
      </c>
      <c r="G21" s="254">
        <v>232</v>
      </c>
      <c r="I21" s="255"/>
      <c r="J21" s="256"/>
    </row>
    <row r="22" spans="2:10" s="251" customFormat="1" ht="15.75" customHeight="1">
      <c r="B22" s="259"/>
      <c r="E22" s="253">
        <v>6670930</v>
      </c>
      <c r="G22" s="254">
        <v>500</v>
      </c>
      <c r="I22" s="255"/>
      <c r="J22" s="256"/>
    </row>
    <row r="23" spans="2:10" s="251" customFormat="1" ht="15.75" customHeight="1">
      <c r="B23" s="260"/>
      <c r="E23" s="253">
        <v>6670931</v>
      </c>
      <c r="G23" s="251">
        <v>752</v>
      </c>
      <c r="I23" s="255"/>
      <c r="J23" s="256"/>
    </row>
    <row r="24" spans="2:10" s="251" customFormat="1" ht="15.75" customHeight="1">
      <c r="B24" s="259"/>
      <c r="E24" s="253">
        <v>6670932</v>
      </c>
      <c r="G24" s="254">
        <v>252</v>
      </c>
      <c r="I24" s="255"/>
      <c r="J24" s="256"/>
    </row>
    <row r="25" spans="2:10" s="251" customFormat="1" ht="15.75" customHeight="1">
      <c r="B25" s="252">
        <v>237677</v>
      </c>
      <c r="E25" s="253">
        <v>6670936</v>
      </c>
      <c r="G25" s="254">
        <v>7212</v>
      </c>
      <c r="I25" s="255"/>
      <c r="J25" s="256"/>
    </row>
    <row r="26" spans="2:10" s="251" customFormat="1" ht="15.75" customHeight="1">
      <c r="B26" s="252">
        <v>237679</v>
      </c>
      <c r="E26" s="253">
        <v>6670941</v>
      </c>
      <c r="G26" s="254">
        <v>2632</v>
      </c>
      <c r="I26" s="255"/>
      <c r="J26" s="256"/>
    </row>
    <row r="27" spans="2:10" s="251" customFormat="1" ht="15.75" customHeight="1">
      <c r="B27" s="259"/>
      <c r="E27" s="253">
        <v>6670943</v>
      </c>
      <c r="G27" s="254">
        <v>1060</v>
      </c>
      <c r="I27" s="255"/>
      <c r="J27" s="256"/>
    </row>
    <row r="28" spans="2:10" s="251" customFormat="1" ht="15.75" customHeight="1">
      <c r="B28" s="259"/>
      <c r="E28" s="253">
        <v>6670944</v>
      </c>
      <c r="G28" s="254">
        <v>7893</v>
      </c>
      <c r="I28" s="255"/>
      <c r="J28" s="256"/>
    </row>
    <row r="29" spans="2:10" s="251" customFormat="1" ht="15.75" customHeight="1">
      <c r="B29" s="259"/>
      <c r="E29" s="253">
        <v>6670945</v>
      </c>
      <c r="G29" s="254">
        <v>7535.91</v>
      </c>
      <c r="I29" s="255"/>
      <c r="J29" s="256"/>
    </row>
    <row r="30" spans="2:10" s="251" customFormat="1" ht="15.75" customHeight="1">
      <c r="B30" s="259"/>
      <c r="E30" s="253">
        <v>6670946</v>
      </c>
      <c r="G30" s="254">
        <v>121</v>
      </c>
      <c r="I30" s="255"/>
      <c r="J30" s="256"/>
    </row>
    <row r="31" spans="2:10" s="251" customFormat="1" ht="15.75" customHeight="1">
      <c r="B31" s="259"/>
      <c r="E31" s="253">
        <v>6670947</v>
      </c>
      <c r="G31" s="254">
        <v>1690</v>
      </c>
      <c r="I31" s="255"/>
      <c r="J31" s="256"/>
    </row>
    <row r="32" spans="2:10" s="251" customFormat="1" ht="15.75" customHeight="1">
      <c r="B32" s="259"/>
      <c r="E32" s="253">
        <v>6670948</v>
      </c>
      <c r="G32" s="254">
        <v>600</v>
      </c>
      <c r="I32" s="255"/>
      <c r="J32" s="256"/>
    </row>
    <row r="33" spans="2:10" s="251" customFormat="1" ht="15.75" customHeight="1">
      <c r="B33" s="259"/>
      <c r="E33" s="253">
        <v>6670949</v>
      </c>
      <c r="G33" s="254">
        <v>600</v>
      </c>
      <c r="I33" s="255"/>
      <c r="J33" s="256"/>
    </row>
    <row r="34" spans="2:10" s="251" customFormat="1" ht="15.75" customHeight="1">
      <c r="B34" s="259"/>
      <c r="E34" s="253">
        <v>6670950</v>
      </c>
      <c r="G34" s="254">
        <v>600</v>
      </c>
      <c r="I34" s="255"/>
      <c r="J34" s="256"/>
    </row>
    <row r="35" spans="2:10" s="251" customFormat="1" ht="15.75" customHeight="1">
      <c r="B35" s="259"/>
      <c r="E35" s="253">
        <v>6670951</v>
      </c>
      <c r="G35" s="254">
        <v>600</v>
      </c>
      <c r="I35" s="255"/>
      <c r="J35" s="256"/>
    </row>
    <row r="36" spans="2:10" s="251" customFormat="1" ht="15.75" customHeight="1">
      <c r="B36" s="259"/>
      <c r="E36" s="253">
        <v>6670952</v>
      </c>
      <c r="G36" s="254">
        <v>600</v>
      </c>
      <c r="I36" s="255"/>
      <c r="J36" s="256"/>
    </row>
    <row r="37" spans="2:10" s="251" customFormat="1" ht="15.75" customHeight="1">
      <c r="B37" s="259"/>
      <c r="E37" s="253">
        <v>6670953</v>
      </c>
      <c r="G37" s="254">
        <v>600</v>
      </c>
      <c r="I37" s="255"/>
      <c r="J37" s="256"/>
    </row>
    <row r="38" spans="2:10" s="251" customFormat="1" ht="15.75" customHeight="1">
      <c r="B38" s="259"/>
      <c r="E38" s="253">
        <v>6670954</v>
      </c>
      <c r="G38" s="254">
        <v>600</v>
      </c>
      <c r="I38" s="255"/>
      <c r="J38" s="256"/>
    </row>
    <row r="39" spans="2:10" s="251" customFormat="1" ht="15.75" customHeight="1">
      <c r="B39" s="261"/>
      <c r="E39" s="253">
        <v>6670955</v>
      </c>
      <c r="G39" s="254">
        <v>600</v>
      </c>
      <c r="I39" s="255"/>
      <c r="J39" s="256"/>
    </row>
    <row r="40" spans="2:10" s="251" customFormat="1" ht="15.75" customHeight="1">
      <c r="B40" s="261"/>
      <c r="E40" s="253">
        <v>6670956</v>
      </c>
      <c r="G40" s="254">
        <v>600</v>
      </c>
      <c r="I40" s="255"/>
      <c r="J40" s="256"/>
    </row>
    <row r="41" spans="2:10" s="251" customFormat="1" ht="15.75" customHeight="1">
      <c r="B41" s="261"/>
      <c r="E41" s="253">
        <v>6670957</v>
      </c>
      <c r="G41" s="254">
        <v>600</v>
      </c>
      <c r="I41" s="255"/>
      <c r="J41" s="256"/>
    </row>
    <row r="42" spans="2:10" s="251" customFormat="1" ht="15.75" customHeight="1">
      <c r="B42" s="261"/>
      <c r="E42" s="253">
        <v>6670958</v>
      </c>
      <c r="G42" s="254">
        <v>400</v>
      </c>
      <c r="I42" s="255"/>
      <c r="J42" s="256"/>
    </row>
    <row r="43" spans="2:10" s="251" customFormat="1" ht="15.75" customHeight="1">
      <c r="B43" s="261"/>
      <c r="E43" s="253">
        <v>6670959</v>
      </c>
      <c r="G43" s="254">
        <v>600</v>
      </c>
      <c r="I43" s="255"/>
      <c r="J43" s="256"/>
    </row>
    <row r="44" spans="2:10" s="251" customFormat="1" ht="15.75" customHeight="1">
      <c r="B44" s="261"/>
      <c r="E44" s="253">
        <v>6670960</v>
      </c>
      <c r="G44" s="254">
        <v>600</v>
      </c>
      <c r="I44" s="255"/>
      <c r="J44" s="256"/>
    </row>
    <row r="45" spans="2:10" s="251" customFormat="1" ht="15.75" customHeight="1">
      <c r="B45" s="261"/>
      <c r="E45" s="253">
        <v>6670961</v>
      </c>
      <c r="G45" s="254">
        <v>600</v>
      </c>
      <c r="I45" s="255"/>
      <c r="J45" s="256"/>
    </row>
    <row r="46" spans="1:10" s="119" customFormat="1" ht="21">
      <c r="A46" s="124" t="s">
        <v>175</v>
      </c>
      <c r="B46" s="119" t="s">
        <v>165</v>
      </c>
      <c r="E46" s="132"/>
      <c r="G46" s="122"/>
      <c r="I46" s="180"/>
      <c r="J46" s="117"/>
    </row>
    <row r="47" spans="1:10" s="119" customFormat="1" ht="18" customHeight="1">
      <c r="A47" s="124" t="s">
        <v>166</v>
      </c>
      <c r="E47" s="132"/>
      <c r="G47" s="122"/>
      <c r="I47" s="116"/>
      <c r="J47" s="117"/>
    </row>
    <row r="48" spans="2:10" ht="11.25" customHeight="1">
      <c r="B48" s="128" t="s">
        <v>160</v>
      </c>
      <c r="E48" s="128" t="s">
        <v>160</v>
      </c>
      <c r="G48" s="129">
        <v>0</v>
      </c>
      <c r="I48" s="137"/>
      <c r="J48" s="118"/>
    </row>
    <row r="49" spans="2:10" ht="4.5" customHeight="1">
      <c r="B49" s="128"/>
      <c r="E49" s="128"/>
      <c r="G49" s="129"/>
      <c r="I49" s="130"/>
      <c r="J49" s="118"/>
    </row>
    <row r="50" spans="1:10" s="119" customFormat="1" ht="21.75" customHeight="1">
      <c r="A50" s="119" t="s">
        <v>171</v>
      </c>
      <c r="D50" s="462">
        <f>E6</f>
        <v>237682</v>
      </c>
      <c r="E50" s="462"/>
      <c r="G50" s="134">
        <f>SUM(G6)-G19-G17-G18-G16-G22-G20-G23-G21-G24-G25-G26-G27-G28-G29-G30-G31-G32-G33-G34-G35-G36-G37-G38-G39-G40-G41-G42-G43-G44-G45</f>
        <v>9550960.129999999</v>
      </c>
      <c r="I50" s="135"/>
      <c r="J50" s="136"/>
    </row>
    <row r="51" spans="9:10" ht="3" customHeight="1">
      <c r="I51" s="130"/>
      <c r="J51" s="118"/>
    </row>
    <row r="52" spans="1:10" ht="1.5" customHeight="1">
      <c r="A52" s="113"/>
      <c r="B52" s="113"/>
      <c r="C52" s="113"/>
      <c r="D52" s="113"/>
      <c r="E52" s="243"/>
      <c r="F52" s="113"/>
      <c r="G52" s="114"/>
      <c r="H52" s="113"/>
      <c r="I52" s="113"/>
      <c r="J52" s="118"/>
    </row>
    <row r="53" spans="2:10" s="245" customFormat="1" ht="18.75" customHeight="1">
      <c r="B53" s="250" t="s">
        <v>167</v>
      </c>
      <c r="C53" s="250"/>
      <c r="D53" s="250"/>
      <c r="E53" s="241"/>
      <c r="F53" s="250"/>
      <c r="G53" s="249" t="s">
        <v>168</v>
      </c>
      <c r="H53" s="250"/>
      <c r="I53" s="250"/>
      <c r="J53" s="250"/>
    </row>
    <row r="54" spans="1:10" s="245" customFormat="1" ht="6" customHeight="1">
      <c r="A54" s="250"/>
      <c r="B54" s="250"/>
      <c r="C54" s="250"/>
      <c r="D54" s="250"/>
      <c r="E54" s="262"/>
      <c r="F54" s="250"/>
      <c r="G54" s="249"/>
      <c r="H54" s="250"/>
      <c r="I54" s="250"/>
      <c r="J54" s="250"/>
    </row>
    <row r="55" spans="1:10" s="266" customFormat="1" ht="16.5" customHeight="1">
      <c r="A55" s="263"/>
      <c r="B55" s="463" t="s">
        <v>258</v>
      </c>
      <c r="C55" s="463"/>
      <c r="D55" s="263"/>
      <c r="E55" s="264"/>
      <c r="F55" s="265"/>
      <c r="G55" s="263" t="s">
        <v>169</v>
      </c>
      <c r="H55" s="263"/>
      <c r="I55" s="263"/>
      <c r="J55" s="263"/>
    </row>
    <row r="56" spans="1:10" s="266" customFormat="1" ht="16.5" customHeight="1">
      <c r="A56" s="263"/>
      <c r="B56" s="463" t="s">
        <v>259</v>
      </c>
      <c r="C56" s="463"/>
      <c r="D56" s="263"/>
      <c r="E56" s="264"/>
      <c r="F56" s="265"/>
      <c r="G56" s="263" t="s">
        <v>170</v>
      </c>
      <c r="H56" s="263"/>
      <c r="I56" s="263"/>
      <c r="J56" s="263"/>
    </row>
    <row r="57" spans="1:10" s="245" customFormat="1" ht="0.75" customHeight="1" hidden="1">
      <c r="A57" s="267"/>
      <c r="B57" s="267"/>
      <c r="C57" s="267"/>
      <c r="D57" s="267"/>
      <c r="E57" s="268"/>
      <c r="F57" s="267"/>
      <c r="G57" s="269"/>
      <c r="H57" s="267"/>
      <c r="I57" s="267"/>
      <c r="J57" s="250"/>
    </row>
    <row r="58" spans="5:10" s="266" customFormat="1" ht="9.75" customHeight="1">
      <c r="E58" s="270"/>
      <c r="J58" s="263"/>
    </row>
    <row r="59" spans="1:10" s="245" customFormat="1" ht="20.25" customHeight="1">
      <c r="A59" s="465" t="s">
        <v>260</v>
      </c>
      <c r="B59" s="465"/>
      <c r="C59" s="465"/>
      <c r="E59" s="242" t="s">
        <v>261</v>
      </c>
      <c r="G59" s="465" t="s">
        <v>142</v>
      </c>
      <c r="H59" s="465"/>
      <c r="I59" s="465"/>
      <c r="J59" s="241"/>
    </row>
    <row r="60" spans="1:10" s="245" customFormat="1" ht="17.25" customHeight="1">
      <c r="A60" s="465" t="s">
        <v>259</v>
      </c>
      <c r="B60" s="465"/>
      <c r="C60" s="465"/>
      <c r="E60" s="242" t="s">
        <v>262</v>
      </c>
      <c r="G60" s="465" t="s">
        <v>263</v>
      </c>
      <c r="H60" s="465"/>
      <c r="I60" s="465"/>
      <c r="J60" s="241"/>
    </row>
    <row r="61" spans="5:10" ht="21">
      <c r="E61" s="464"/>
      <c r="F61" s="464"/>
      <c r="J61" s="118"/>
    </row>
    <row r="63" ht="21">
      <c r="G63" s="216"/>
    </row>
    <row r="66" ht="21">
      <c r="E66" s="271"/>
    </row>
  </sheetData>
  <mergeCells count="10">
    <mergeCell ref="E61:F61"/>
    <mergeCell ref="B56:C56"/>
    <mergeCell ref="A59:C59"/>
    <mergeCell ref="G59:I59"/>
    <mergeCell ref="A60:C60"/>
    <mergeCell ref="G60:I60"/>
    <mergeCell ref="A2:E2"/>
    <mergeCell ref="A4:E4"/>
    <mergeCell ref="D50:E50"/>
    <mergeCell ref="B55:C55"/>
  </mergeCells>
  <printOptions/>
  <pageMargins left="0.5118110236220472" right="0.2755905511811024" top="0.5905511811023623" bottom="0.1968503937007874" header="0.5118110236220472" footer="0.433070866141732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8"/>
  <sheetViews>
    <sheetView workbookViewId="0" topLeftCell="A100">
      <selection activeCell="A3" sqref="A3:E3"/>
    </sheetView>
  </sheetViews>
  <sheetFormatPr defaultColWidth="9.140625" defaultRowHeight="21.75"/>
  <cols>
    <col min="1" max="1" width="15.57421875" style="0" customWidth="1"/>
    <col min="2" max="2" width="17.28125" style="0" customWidth="1"/>
    <col min="3" max="3" width="41.28125" style="0" customWidth="1"/>
    <col min="4" max="4" width="8.140625" style="0" customWidth="1"/>
    <col min="5" max="5" width="17.28125" style="0" customWidth="1"/>
    <col min="6" max="6" width="11.00390625" style="0" bestFit="1" customWidth="1"/>
  </cols>
  <sheetData>
    <row r="1" spans="1:5" ht="21.75">
      <c r="A1" s="47" t="s">
        <v>102</v>
      </c>
      <c r="D1" s="427" t="s">
        <v>195</v>
      </c>
      <c r="E1" s="427"/>
    </row>
    <row r="2" ht="21.75">
      <c r="A2" s="47" t="s">
        <v>103</v>
      </c>
    </row>
    <row r="3" spans="1:5" ht="23.25">
      <c r="A3" s="456" t="s">
        <v>104</v>
      </c>
      <c r="B3" s="456"/>
      <c r="C3" s="456"/>
      <c r="D3" s="456"/>
      <c r="E3" s="456"/>
    </row>
    <row r="4" spans="1:5" ht="21.75">
      <c r="A4" s="428" t="s">
        <v>228</v>
      </c>
      <c r="B4" s="428"/>
      <c r="C4" s="428"/>
      <c r="D4" s="428"/>
      <c r="E4" s="428"/>
    </row>
    <row r="5" spans="1:5" s="47" customFormat="1" ht="21">
      <c r="A5" s="425" t="s">
        <v>105</v>
      </c>
      <c r="B5" s="426"/>
      <c r="C5" s="48"/>
      <c r="D5" s="48"/>
      <c r="E5" s="49" t="s">
        <v>111</v>
      </c>
    </row>
    <row r="6" spans="1:5" s="47" customFormat="1" ht="21">
      <c r="A6" s="48" t="s">
        <v>106</v>
      </c>
      <c r="B6" s="48" t="s">
        <v>108</v>
      </c>
      <c r="C6" s="50" t="s">
        <v>2</v>
      </c>
      <c r="D6" s="50" t="s">
        <v>109</v>
      </c>
      <c r="E6" s="48" t="s">
        <v>108</v>
      </c>
    </row>
    <row r="7" spans="1:5" s="47" customFormat="1" ht="21.75" thickBot="1">
      <c r="A7" s="51" t="s">
        <v>107</v>
      </c>
      <c r="B7" s="51" t="s">
        <v>107</v>
      </c>
      <c r="C7" s="51"/>
      <c r="D7" s="51" t="s">
        <v>110</v>
      </c>
      <c r="E7" s="51" t="s">
        <v>107</v>
      </c>
    </row>
    <row r="8" spans="1:5" ht="22.5" thickTop="1">
      <c r="A8" s="54"/>
      <c r="B8" s="62">
        <f>10373005.25-42408.95</f>
        <v>10330596.3</v>
      </c>
      <c r="C8" s="52" t="s">
        <v>52</v>
      </c>
      <c r="D8" s="45"/>
      <c r="E8" s="181">
        <v>10738163.61</v>
      </c>
    </row>
    <row r="9" spans="1:5" ht="21.75">
      <c r="A9" s="55"/>
      <c r="B9" s="55"/>
      <c r="C9" s="59" t="s">
        <v>119</v>
      </c>
      <c r="D9" s="45"/>
      <c r="E9" s="56"/>
    </row>
    <row r="10" spans="1:5" ht="21.75">
      <c r="A10" s="56">
        <f>40000+25000+2000</f>
        <v>67000</v>
      </c>
      <c r="B10" s="56">
        <f>69393.63+E10</f>
        <v>83340.93000000001</v>
      </c>
      <c r="C10" t="s">
        <v>112</v>
      </c>
      <c r="D10" s="63" t="s">
        <v>130</v>
      </c>
      <c r="E10" s="82">
        <f>9290.75+4186.55+470</f>
        <v>13947.3</v>
      </c>
    </row>
    <row r="11" spans="1:5" ht="21.75">
      <c r="A11" s="56">
        <f>2000+95000</f>
        <v>97000</v>
      </c>
      <c r="B11" s="56">
        <v>44679.6</v>
      </c>
      <c r="C11" t="s">
        <v>113</v>
      </c>
      <c r="D11" s="63" t="s">
        <v>131</v>
      </c>
      <c r="E11" s="56"/>
    </row>
    <row r="12" spans="1:5" ht="21.75">
      <c r="A12" s="56">
        <f>3000+5000</f>
        <v>8000</v>
      </c>
      <c r="B12" s="56">
        <v>0</v>
      </c>
      <c r="C12" t="s">
        <v>114</v>
      </c>
      <c r="D12" s="63" t="s">
        <v>132</v>
      </c>
      <c r="E12" s="56"/>
    </row>
    <row r="13" spans="1:5" ht="21.75">
      <c r="A13" s="56"/>
      <c r="B13" s="56">
        <f>800+E13</f>
        <v>25500</v>
      </c>
      <c r="C13" t="s">
        <v>115</v>
      </c>
      <c r="D13" s="63" t="s">
        <v>133</v>
      </c>
      <c r="E13" s="56">
        <f>23100+1600</f>
        <v>24700</v>
      </c>
    </row>
    <row r="14" spans="1:5" ht="21.75">
      <c r="A14" s="56">
        <v>70000</v>
      </c>
      <c r="B14" s="56">
        <v>36917.15</v>
      </c>
      <c r="C14" t="s">
        <v>48</v>
      </c>
      <c r="D14" s="63" t="s">
        <v>134</v>
      </c>
      <c r="E14" s="56"/>
    </row>
    <row r="15" spans="1:5" ht="21.75">
      <c r="A15" s="56">
        <f>590000+982800+350000+4746090+5000+15000+25000</f>
        <v>6713890</v>
      </c>
      <c r="B15" s="56">
        <f>2530769.04+E15</f>
        <v>2559453.04</v>
      </c>
      <c r="C15" t="s">
        <v>116</v>
      </c>
      <c r="D15" s="63" t="s">
        <v>135</v>
      </c>
      <c r="E15" s="82">
        <v>28684</v>
      </c>
    </row>
    <row r="16" spans="1:5" ht="21.75">
      <c r="A16" s="56">
        <v>4124000</v>
      </c>
      <c r="B16" s="56">
        <v>1958582</v>
      </c>
      <c r="C16" t="s">
        <v>19</v>
      </c>
      <c r="D16" s="63" t="s">
        <v>136</v>
      </c>
      <c r="E16" s="82">
        <v>0</v>
      </c>
    </row>
    <row r="17" spans="1:5" ht="22.5" thickBot="1">
      <c r="A17" s="57">
        <f>SUM(A10:A16)</f>
        <v>11079890</v>
      </c>
      <c r="B17" s="57">
        <f>SUM(B10:B16)</f>
        <v>4708472.720000001</v>
      </c>
      <c r="C17" s="53"/>
      <c r="D17" s="45"/>
      <c r="E17" s="61">
        <f>SUM(E10:E16)</f>
        <v>67331.3</v>
      </c>
    </row>
    <row r="18" spans="2:5" ht="22.5" thickTop="1">
      <c r="B18" s="58">
        <v>0</v>
      </c>
      <c r="C18" t="s">
        <v>28</v>
      </c>
      <c r="D18" s="45"/>
      <c r="E18" s="56">
        <v>0</v>
      </c>
    </row>
    <row r="19" spans="2:5" ht="21.75">
      <c r="B19" s="56">
        <v>5500</v>
      </c>
      <c r="C19" t="s">
        <v>30</v>
      </c>
      <c r="D19" s="45">
        <v>700</v>
      </c>
      <c r="E19" s="56"/>
    </row>
    <row r="20" spans="2:5" ht="21.75">
      <c r="B20" s="56">
        <f>1719031+E20</f>
        <v>2562406</v>
      </c>
      <c r="C20" s="109" t="s">
        <v>124</v>
      </c>
      <c r="D20" s="110" t="s">
        <v>137</v>
      </c>
      <c r="E20" s="111">
        <f>+5!H24</f>
        <v>843375</v>
      </c>
    </row>
    <row r="21" spans="2:5" ht="21.75">
      <c r="B21" s="56">
        <v>0</v>
      </c>
      <c r="C21" t="s">
        <v>123</v>
      </c>
      <c r="D21" s="45">
        <v>600</v>
      </c>
      <c r="E21" s="56">
        <v>0</v>
      </c>
    </row>
    <row r="22" spans="2:5" ht="21.75">
      <c r="B22" s="56">
        <v>0</v>
      </c>
      <c r="C22" t="s">
        <v>117</v>
      </c>
      <c r="D22" s="45">
        <v>602</v>
      </c>
      <c r="E22" s="56">
        <v>0</v>
      </c>
    </row>
    <row r="23" spans="2:5" ht="21.75">
      <c r="B23" s="56">
        <f>236586.77+E23</f>
        <v>314388.5</v>
      </c>
      <c r="C23" s="109" t="s">
        <v>118</v>
      </c>
      <c r="D23" s="112">
        <v>900</v>
      </c>
      <c r="E23" s="111">
        <f>+2!C13</f>
        <v>77801.73000000001</v>
      </c>
    </row>
    <row r="24" spans="2:5" ht="21.75">
      <c r="B24" s="56">
        <v>550144</v>
      </c>
      <c r="C24" t="s">
        <v>101</v>
      </c>
      <c r="D24" s="45">
        <v>704</v>
      </c>
      <c r="E24" s="56">
        <v>0</v>
      </c>
    </row>
    <row r="25" spans="2:5" ht="21.75">
      <c r="B25" s="56">
        <v>172210</v>
      </c>
      <c r="C25" t="s">
        <v>139</v>
      </c>
      <c r="D25" s="63" t="s">
        <v>138</v>
      </c>
      <c r="E25" s="56">
        <v>0</v>
      </c>
    </row>
    <row r="26" spans="2:5" ht="21.75">
      <c r="B26" s="56"/>
      <c r="D26" s="45"/>
      <c r="E26" s="56"/>
    </row>
    <row r="27" spans="2:5" ht="21.75">
      <c r="B27" s="56"/>
      <c r="C27" s="53"/>
      <c r="D27" s="45"/>
      <c r="E27" s="56"/>
    </row>
    <row r="28" spans="2:5" ht="21.75">
      <c r="B28" s="56"/>
      <c r="C28" s="53">
        <v>0</v>
      </c>
      <c r="D28" s="45"/>
      <c r="E28" s="56"/>
    </row>
    <row r="29" spans="2:5" ht="21.75">
      <c r="B29" s="56">
        <f>+B18+B19+B20+B21+B22+B23+B24+B25</f>
        <v>3604648.5</v>
      </c>
      <c r="D29" s="45"/>
      <c r="E29" s="56">
        <f>+E18+E19+E20+E21+E22+E23+E24+E25</f>
        <v>921176.73</v>
      </c>
    </row>
    <row r="30" spans="2:5" ht="21.75">
      <c r="B30" s="60">
        <f>SUM(B17+B29)</f>
        <v>8313121.220000001</v>
      </c>
      <c r="D30" s="46"/>
      <c r="E30" s="60">
        <f>SUM(E17+E29)</f>
        <v>988508.03</v>
      </c>
    </row>
    <row r="31" ht="21.75">
      <c r="D31" s="44"/>
    </row>
    <row r="32" ht="21.75">
      <c r="D32" s="44"/>
    </row>
    <row r="33" ht="21.75">
      <c r="D33" s="44"/>
    </row>
    <row r="34" ht="21.75">
      <c r="D34" s="44"/>
    </row>
    <row r="35" ht="21.75">
      <c r="D35" s="44"/>
    </row>
    <row r="36" ht="21.75">
      <c r="D36" s="44"/>
    </row>
    <row r="37" spans="1:5" ht="27.75" customHeight="1">
      <c r="A37" s="424">
        <v>2</v>
      </c>
      <c r="B37" s="424"/>
      <c r="C37" s="424"/>
      <c r="D37" s="424"/>
      <c r="E37" s="424"/>
    </row>
    <row r="38" spans="1:5" ht="21.75">
      <c r="A38" s="425" t="s">
        <v>105</v>
      </c>
      <c r="B38" s="426"/>
      <c r="C38" s="48"/>
      <c r="D38" s="48"/>
      <c r="E38" s="49" t="s">
        <v>111</v>
      </c>
    </row>
    <row r="39" spans="1:5" ht="21.75">
      <c r="A39" s="48" t="s">
        <v>106</v>
      </c>
      <c r="B39" s="48" t="s">
        <v>108</v>
      </c>
      <c r="C39" s="50" t="s">
        <v>2</v>
      </c>
      <c r="D39" s="50" t="s">
        <v>109</v>
      </c>
      <c r="E39" s="48" t="s">
        <v>108</v>
      </c>
    </row>
    <row r="40" spans="1:5" ht="22.5" thickBot="1">
      <c r="A40" s="51" t="s">
        <v>107</v>
      </c>
      <c r="B40" s="51" t="s">
        <v>107</v>
      </c>
      <c r="C40" s="51"/>
      <c r="D40" s="51" t="s">
        <v>110</v>
      </c>
      <c r="E40" s="51" t="s">
        <v>107</v>
      </c>
    </row>
    <row r="41" spans="1:5" ht="20.25" customHeight="1" thickTop="1">
      <c r="A41" s="55"/>
      <c r="B41" s="55"/>
      <c r="C41" s="59" t="s">
        <v>120</v>
      </c>
      <c r="D41" s="45"/>
      <c r="E41" s="56"/>
    </row>
    <row r="42" spans="1:5" ht="20.25" customHeight="1">
      <c r="A42" s="56">
        <v>400000</v>
      </c>
      <c r="B42" s="56">
        <f>338768+E42</f>
        <v>422456</v>
      </c>
      <c r="C42" t="s">
        <v>22</v>
      </c>
      <c r="D42" s="65" t="s">
        <v>141</v>
      </c>
      <c r="E42" s="56">
        <f>588+83100</f>
        <v>83688</v>
      </c>
    </row>
    <row r="43" spans="1:5" ht="20.25" customHeight="1">
      <c r="A43" s="56">
        <v>1495307</v>
      </c>
      <c r="B43" s="56">
        <f>721645.16+E43</f>
        <v>850065.16</v>
      </c>
      <c r="C43" t="s">
        <v>12</v>
      </c>
      <c r="D43" s="45">
        <v>100</v>
      </c>
      <c r="E43" s="56">
        <v>128420</v>
      </c>
    </row>
    <row r="44" spans="1:5" ht="20.25" customHeight="1">
      <c r="A44" s="56">
        <v>169890</v>
      </c>
      <c r="B44" s="56">
        <f>88440+E44</f>
        <v>103500</v>
      </c>
      <c r="C44" t="s">
        <v>13</v>
      </c>
      <c r="D44" s="45">
        <v>120</v>
      </c>
      <c r="E44" s="56">
        <v>15060</v>
      </c>
    </row>
    <row r="45" spans="1:5" ht="20.25" customHeight="1">
      <c r="A45" s="56">
        <v>114240</v>
      </c>
      <c r="B45" s="56">
        <f>29280+E45</f>
        <v>34160</v>
      </c>
      <c r="C45" t="s">
        <v>14</v>
      </c>
      <c r="D45" s="45">
        <v>130</v>
      </c>
      <c r="E45" s="56">
        <v>4880</v>
      </c>
    </row>
    <row r="46" spans="1:5" ht="20.25" customHeight="1">
      <c r="A46" s="56">
        <v>1188030</v>
      </c>
      <c r="B46" s="56">
        <f>515838+E46</f>
        <v>595511</v>
      </c>
      <c r="C46" t="s">
        <v>15</v>
      </c>
      <c r="D46" s="45">
        <v>200</v>
      </c>
      <c r="E46" s="56">
        <v>79673</v>
      </c>
    </row>
    <row r="47" spans="1:6" ht="20.25" customHeight="1">
      <c r="A47" s="56">
        <v>1546708</v>
      </c>
      <c r="B47" s="56">
        <f>301547.59+E47</f>
        <v>419810.59</v>
      </c>
      <c r="C47" t="s">
        <v>16</v>
      </c>
      <c r="D47" s="45">
        <v>250</v>
      </c>
      <c r="E47" s="56">
        <f>114643+3620</f>
        <v>118263</v>
      </c>
      <c r="F47" s="53"/>
    </row>
    <row r="48" spans="1:5" ht="20.25" customHeight="1">
      <c r="A48" s="56">
        <v>234069</v>
      </c>
      <c r="B48" s="56">
        <v>34914.7</v>
      </c>
      <c r="C48" t="s">
        <v>17</v>
      </c>
      <c r="D48" s="45">
        <v>270</v>
      </c>
      <c r="E48" s="56">
        <v>0</v>
      </c>
    </row>
    <row r="49" spans="1:5" ht="20.25" customHeight="1">
      <c r="A49" s="56">
        <v>68806</v>
      </c>
      <c r="B49" s="56">
        <f>29255.52+E49</f>
        <v>33599.79</v>
      </c>
      <c r="C49" t="s">
        <v>18</v>
      </c>
      <c r="D49" s="45">
        <v>300</v>
      </c>
      <c r="E49" s="56">
        <v>4344.27</v>
      </c>
    </row>
    <row r="50" spans="1:5" ht="20.25" customHeight="1">
      <c r="A50" s="56">
        <v>675040</v>
      </c>
      <c r="B50" s="56">
        <v>41264</v>
      </c>
      <c r="C50" t="s">
        <v>19</v>
      </c>
      <c r="D50" s="45">
        <v>400</v>
      </c>
      <c r="E50" s="56">
        <v>0</v>
      </c>
    </row>
    <row r="51" spans="1:5" ht="20.25" customHeight="1">
      <c r="A51" s="56">
        <v>463800</v>
      </c>
      <c r="B51" s="56">
        <v>45881.59</v>
      </c>
      <c r="C51" t="s">
        <v>20</v>
      </c>
      <c r="D51" s="45">
        <v>450</v>
      </c>
      <c r="E51" s="56">
        <v>0</v>
      </c>
    </row>
    <row r="52" spans="1:5" ht="20.25" customHeight="1">
      <c r="A52" s="56">
        <f>2029000+4124000</f>
        <v>6153000</v>
      </c>
      <c r="B52" s="56">
        <v>0</v>
      </c>
      <c r="C52" t="s">
        <v>21</v>
      </c>
      <c r="D52" s="45">
        <v>500</v>
      </c>
      <c r="E52" s="56">
        <v>0</v>
      </c>
    </row>
    <row r="53" spans="1:5" ht="20.25" customHeight="1">
      <c r="A53" s="56"/>
      <c r="B53" s="56">
        <f>43000+E53</f>
        <v>50000</v>
      </c>
      <c r="C53" t="s">
        <v>121</v>
      </c>
      <c r="D53" s="45">
        <v>550</v>
      </c>
      <c r="E53" s="56">
        <v>7000</v>
      </c>
    </row>
    <row r="54" spans="1:5" ht="20.25" customHeight="1" thickBot="1">
      <c r="A54" s="57">
        <f>SUM(A42:A52)</f>
        <v>12508890</v>
      </c>
      <c r="B54" s="57">
        <f>SUM(B42:B53)</f>
        <v>2631162.83</v>
      </c>
      <c r="C54" s="176"/>
      <c r="D54" s="45"/>
      <c r="E54" s="57">
        <f>SUM(E42:E53)</f>
        <v>441328.27</v>
      </c>
    </row>
    <row r="55" spans="2:5" ht="20.25" customHeight="1" thickTop="1">
      <c r="B55" s="58">
        <v>75000</v>
      </c>
      <c r="C55" t="s">
        <v>28</v>
      </c>
      <c r="D55" s="45"/>
      <c r="E55" s="56">
        <v>0</v>
      </c>
    </row>
    <row r="56" spans="1:5" s="185" customFormat="1" ht="20.25" customHeight="1">
      <c r="A56" s="183"/>
      <c r="B56" s="184">
        <f>467932+E56</f>
        <v>766270</v>
      </c>
      <c r="C56" s="185" t="s">
        <v>30</v>
      </c>
      <c r="D56" s="186">
        <v>700</v>
      </c>
      <c r="E56" s="184">
        <v>298338</v>
      </c>
    </row>
    <row r="57" spans="2:5" ht="20.25" customHeight="1">
      <c r="B57" s="82">
        <f>945622+E57</f>
        <v>1713933.8399999999</v>
      </c>
      <c r="C57" s="109" t="s">
        <v>124</v>
      </c>
      <c r="D57" s="112">
        <v>3002</v>
      </c>
      <c r="E57" s="111">
        <f>+5!H52</f>
        <v>768311.84</v>
      </c>
    </row>
    <row r="58" spans="2:5" ht="20.25" customHeight="1">
      <c r="B58" s="182">
        <f>1871680.04+E58</f>
        <v>1871680.04</v>
      </c>
      <c r="C58" t="s">
        <v>122</v>
      </c>
      <c r="D58" s="45">
        <v>600</v>
      </c>
      <c r="E58" s="56">
        <f>+3!E31</f>
        <v>0</v>
      </c>
    </row>
    <row r="59" spans="2:5" ht="20.25" customHeight="1">
      <c r="B59" s="182">
        <f>310110+E59</f>
        <v>310110</v>
      </c>
      <c r="C59" t="s">
        <v>117</v>
      </c>
      <c r="D59" s="45">
        <v>602</v>
      </c>
      <c r="E59" s="56">
        <f>+4!E26</f>
        <v>0</v>
      </c>
    </row>
    <row r="60" spans="2:5" ht="20.25" customHeight="1">
      <c r="B60" s="56">
        <f>473723.28+E60</f>
        <v>592344.98</v>
      </c>
      <c r="C60" s="109" t="s">
        <v>118</v>
      </c>
      <c r="D60" s="112">
        <v>900</v>
      </c>
      <c r="E60" s="111">
        <f>+2!D13</f>
        <v>118621.7</v>
      </c>
    </row>
    <row r="61" spans="2:5" s="185" customFormat="1" ht="20.25" customHeight="1">
      <c r="B61" s="184">
        <v>550144</v>
      </c>
      <c r="C61" s="185" t="s">
        <v>101</v>
      </c>
      <c r="D61" s="186">
        <v>704</v>
      </c>
      <c r="E61" s="184">
        <v>0</v>
      </c>
    </row>
    <row r="62" spans="2:5" ht="20.25" customHeight="1">
      <c r="B62" s="56">
        <f>33000+E62</f>
        <v>40210</v>
      </c>
      <c r="C62" t="s">
        <v>140</v>
      </c>
      <c r="D62" s="63" t="s">
        <v>138</v>
      </c>
      <c r="E62" s="56">
        <v>7210</v>
      </c>
    </row>
    <row r="63" spans="2:5" ht="9.75" customHeight="1">
      <c r="B63" s="56"/>
      <c r="D63" s="45"/>
      <c r="E63" s="56"/>
    </row>
    <row r="64" spans="2:5" ht="23.25" customHeight="1">
      <c r="B64" s="60">
        <f>SUM(B55:B63)</f>
        <v>5919692.859999999</v>
      </c>
      <c r="D64" s="45"/>
      <c r="E64" s="60">
        <f>SUM(E55:E63)</f>
        <v>1192481.5399999998</v>
      </c>
    </row>
    <row r="65" spans="2:5" ht="23.25" customHeight="1">
      <c r="B65" s="60">
        <f>+B64+B54</f>
        <v>8550855.69</v>
      </c>
      <c r="C65" s="44" t="s">
        <v>125</v>
      </c>
      <c r="D65" s="45"/>
      <c r="E65" s="60">
        <f>SUM(E64,E54)</f>
        <v>1633809.8099999998</v>
      </c>
    </row>
    <row r="66" spans="2:5" ht="18" customHeight="1">
      <c r="B66" s="56"/>
      <c r="C66" s="32" t="s">
        <v>126</v>
      </c>
      <c r="D66" s="45"/>
      <c r="E66" s="56"/>
    </row>
    <row r="67" spans="2:5" ht="23.25" customHeight="1">
      <c r="B67" s="56">
        <f>+B30-B65</f>
        <v>-237734.4699999988</v>
      </c>
      <c r="C67" s="44" t="s">
        <v>127</v>
      </c>
      <c r="D67" s="45"/>
      <c r="E67" s="56">
        <f>SUM(E30-E65)</f>
        <v>-645301.7799999998</v>
      </c>
    </row>
    <row r="68" spans="2:5" ht="18" customHeight="1">
      <c r="B68" s="56"/>
      <c r="C68" s="32" t="s">
        <v>128</v>
      </c>
      <c r="D68" s="45"/>
      <c r="E68" s="56"/>
    </row>
    <row r="69" spans="2:5" ht="23.25" customHeight="1">
      <c r="B69" s="60">
        <f>SUM(B8+B30-B65)</f>
        <v>10092861.830000004</v>
      </c>
      <c r="C69" s="44" t="s">
        <v>129</v>
      </c>
      <c r="D69" s="46"/>
      <c r="E69" s="60">
        <f>SUM(E67+E8)</f>
        <v>10092861.83</v>
      </c>
    </row>
    <row r="70" spans="2:5" ht="6.75" customHeight="1">
      <c r="B70" s="177"/>
      <c r="C70" s="44"/>
      <c r="D70" s="178"/>
      <c r="E70" s="177">
        <f>+B69-E69</f>
        <v>0</v>
      </c>
    </row>
    <row r="71" ht="20.25" customHeight="1">
      <c r="A71" s="179"/>
    </row>
    <row r="72" spans="2:5" ht="20.25" customHeight="1">
      <c r="B72" s="53"/>
      <c r="C72" s="108">
        <f>+B69-E69</f>
        <v>0</v>
      </c>
      <c r="E72" s="53"/>
    </row>
    <row r="73" spans="2:5" ht="20.25" customHeight="1">
      <c r="B73" s="53"/>
      <c r="C73" s="53"/>
      <c r="E73" s="53"/>
    </row>
    <row r="74" ht="20.25" customHeight="1">
      <c r="A74" t="s">
        <v>211</v>
      </c>
    </row>
    <row r="75" spans="1:4" ht="20.25" customHeight="1">
      <c r="A75" t="s">
        <v>144</v>
      </c>
      <c r="C75" t="s">
        <v>145</v>
      </c>
      <c r="D75" t="s">
        <v>212</v>
      </c>
    </row>
    <row r="76" ht="20.25" customHeight="1"/>
    <row r="77" ht="20.25" customHeight="1"/>
    <row r="78" ht="20.25" customHeight="1"/>
    <row r="79" ht="20.25" customHeight="1"/>
    <row r="80" ht="20.25" customHeight="1"/>
    <row r="81" spans="1:5" ht="21.75">
      <c r="A81" s="47" t="s">
        <v>102</v>
      </c>
      <c r="D81" s="427" t="s">
        <v>195</v>
      </c>
      <c r="E81" s="427"/>
    </row>
    <row r="82" ht="21.75">
      <c r="A82" s="47" t="s">
        <v>103</v>
      </c>
    </row>
    <row r="83" spans="1:5" ht="23.25">
      <c r="A83" s="456" t="s">
        <v>104</v>
      </c>
      <c r="B83" s="456"/>
      <c r="C83" s="456"/>
      <c r="D83" s="456"/>
      <c r="E83" s="456"/>
    </row>
    <row r="84" spans="1:5" ht="21.75">
      <c r="A84" s="428" t="s">
        <v>226</v>
      </c>
      <c r="B84" s="428"/>
      <c r="C84" s="428"/>
      <c r="D84" s="428"/>
      <c r="E84" s="428"/>
    </row>
    <row r="85" spans="1:5" ht="21.75">
      <c r="A85" s="425" t="s">
        <v>105</v>
      </c>
      <c r="B85" s="426"/>
      <c r="C85" s="48"/>
      <c r="D85" s="48"/>
      <c r="E85" s="49" t="s">
        <v>111</v>
      </c>
    </row>
    <row r="86" spans="1:5" ht="21.75">
      <c r="A86" s="48" t="s">
        <v>106</v>
      </c>
      <c r="B86" s="48" t="s">
        <v>108</v>
      </c>
      <c r="C86" s="50" t="s">
        <v>2</v>
      </c>
      <c r="D86" s="50" t="s">
        <v>109</v>
      </c>
      <c r="E86" s="48" t="s">
        <v>108</v>
      </c>
    </row>
    <row r="87" spans="1:5" ht="22.5" thickBot="1">
      <c r="A87" s="51" t="s">
        <v>107</v>
      </c>
      <c r="B87" s="51" t="s">
        <v>107</v>
      </c>
      <c r="C87" s="51"/>
      <c r="D87" s="51" t="s">
        <v>110</v>
      </c>
      <c r="E87" s="51" t="s">
        <v>107</v>
      </c>
    </row>
    <row r="88" spans="1:5" ht="22.5" thickTop="1">
      <c r="A88" s="54"/>
      <c r="B88" s="62">
        <f>10373005.25-42408.95</f>
        <v>10330596.3</v>
      </c>
      <c r="C88" s="52" t="s">
        <v>52</v>
      </c>
      <c r="D88" s="45"/>
      <c r="E88" s="181">
        <v>9379486.45</v>
      </c>
    </row>
    <row r="89" spans="1:5" ht="21.75">
      <c r="A89" s="55"/>
      <c r="B89" s="55"/>
      <c r="C89" s="59" t="s">
        <v>119</v>
      </c>
      <c r="D89" s="45"/>
      <c r="E89" s="56"/>
    </row>
    <row r="90" spans="1:5" ht="21.75">
      <c r="A90" s="56">
        <f>40000+25000+2000</f>
        <v>67000</v>
      </c>
      <c r="B90" s="56">
        <v>37215.03</v>
      </c>
      <c r="C90" t="s">
        <v>112</v>
      </c>
      <c r="D90" s="63" t="s">
        <v>130</v>
      </c>
      <c r="E90" s="82">
        <v>28712.12</v>
      </c>
    </row>
    <row r="91" spans="1:5" ht="21.75">
      <c r="A91" s="56"/>
      <c r="B91" s="56">
        <v>41309.6</v>
      </c>
      <c r="C91" t="s">
        <v>113</v>
      </c>
      <c r="D91" s="63" t="s">
        <v>131</v>
      </c>
      <c r="E91" s="56">
        <v>39932</v>
      </c>
    </row>
    <row r="92" spans="1:5" ht="21.75">
      <c r="A92" s="56">
        <f>3000+5000</f>
        <v>8000</v>
      </c>
      <c r="B92" s="56">
        <v>0</v>
      </c>
      <c r="C92" t="s">
        <v>114</v>
      </c>
      <c r="D92" s="63" t="s">
        <v>132</v>
      </c>
      <c r="E92" s="56">
        <v>0</v>
      </c>
    </row>
    <row r="93" spans="1:5" ht="21.75">
      <c r="A93" s="56"/>
      <c r="B93" s="56">
        <v>800</v>
      </c>
      <c r="C93" t="s">
        <v>115</v>
      </c>
      <c r="D93" s="63" t="s">
        <v>133</v>
      </c>
      <c r="E93" s="56">
        <v>0</v>
      </c>
    </row>
    <row r="94" spans="1:5" ht="21.75">
      <c r="A94" s="56">
        <v>70000</v>
      </c>
      <c r="B94" s="56">
        <f>4000+E94</f>
        <v>16000</v>
      </c>
      <c r="C94" t="s">
        <v>48</v>
      </c>
      <c r="D94" s="63" t="s">
        <v>134</v>
      </c>
      <c r="E94" s="56">
        <v>12000</v>
      </c>
    </row>
    <row r="95" spans="1:5" ht="21.75">
      <c r="A95" s="56">
        <f>590000+982800+350000+4746090+5000+15000+25000</f>
        <v>6713890</v>
      </c>
      <c r="B95" s="56">
        <v>1912829.69</v>
      </c>
      <c r="C95" t="s">
        <v>116</v>
      </c>
      <c r="D95" s="63" t="s">
        <v>135</v>
      </c>
      <c r="E95" s="82">
        <v>284727.3</v>
      </c>
    </row>
    <row r="96" spans="1:5" ht="21.75">
      <c r="A96" s="56">
        <v>4124000</v>
      </c>
      <c r="B96" s="56">
        <v>0</v>
      </c>
      <c r="C96" t="s">
        <v>19</v>
      </c>
      <c r="D96" s="63" t="s">
        <v>136</v>
      </c>
      <c r="E96" s="56">
        <v>0</v>
      </c>
    </row>
    <row r="97" spans="1:5" ht="22.5" thickBot="1">
      <c r="A97" s="57">
        <f>SUM(A90:A96)</f>
        <v>10982890</v>
      </c>
      <c r="B97" s="57">
        <f>SUM(B90:B96)</f>
        <v>2008154.3199999998</v>
      </c>
      <c r="C97" s="53"/>
      <c r="D97" s="45"/>
      <c r="E97" s="61">
        <f>SUM(E90:E96)</f>
        <v>365371.42</v>
      </c>
    </row>
    <row r="98" spans="2:5" ht="22.5" thickTop="1">
      <c r="B98" s="58">
        <f>+E98</f>
        <v>0</v>
      </c>
      <c r="C98" t="s">
        <v>28</v>
      </c>
      <c r="D98" s="45"/>
      <c r="E98" s="56"/>
    </row>
    <row r="99" spans="2:5" ht="21.75">
      <c r="B99" s="56">
        <f>5500+E99</f>
        <v>5500</v>
      </c>
      <c r="C99" t="s">
        <v>30</v>
      </c>
      <c r="D99" s="45">
        <v>700</v>
      </c>
      <c r="E99" s="56">
        <v>0</v>
      </c>
    </row>
    <row r="100" spans="2:5" ht="21.75">
      <c r="B100" s="56">
        <f>605083+80100+696048</f>
        <v>1381231</v>
      </c>
      <c r="C100" s="109" t="s">
        <v>124</v>
      </c>
      <c r="D100" s="110" t="s">
        <v>137</v>
      </c>
      <c r="E100" s="111">
        <v>696048</v>
      </c>
    </row>
    <row r="101" spans="2:5" ht="21.75">
      <c r="B101" s="56">
        <f>+E101</f>
        <v>0</v>
      </c>
      <c r="C101" t="s">
        <v>123</v>
      </c>
      <c r="D101" s="45">
        <v>600</v>
      </c>
      <c r="E101" s="56">
        <v>0</v>
      </c>
    </row>
    <row r="102" spans="2:5" ht="21.75">
      <c r="B102" s="56">
        <f>+E102</f>
        <v>0</v>
      </c>
      <c r="C102" t="s">
        <v>117</v>
      </c>
      <c r="D102" s="45">
        <v>602</v>
      </c>
      <c r="E102" s="56">
        <v>0</v>
      </c>
    </row>
    <row r="103" spans="2:5" ht="21.75">
      <c r="B103" s="56">
        <f>215862.9+5888</f>
        <v>221750.9</v>
      </c>
      <c r="C103" s="109" t="s">
        <v>118</v>
      </c>
      <c r="D103" s="112">
        <v>900</v>
      </c>
      <c r="E103" s="111">
        <v>28750.17</v>
      </c>
    </row>
    <row r="104" spans="2:5" s="200" customFormat="1" ht="21.75">
      <c r="B104" s="201">
        <f>359144+191000</f>
        <v>550144</v>
      </c>
      <c r="C104" s="200" t="s">
        <v>101</v>
      </c>
      <c r="D104" s="202">
        <v>704</v>
      </c>
      <c r="E104" s="201">
        <v>0</v>
      </c>
    </row>
    <row r="105" spans="2:5" ht="21.75">
      <c r="B105" s="56">
        <v>7210</v>
      </c>
      <c r="C105" t="s">
        <v>139</v>
      </c>
      <c r="D105" s="63" t="s">
        <v>138</v>
      </c>
      <c r="E105" s="56">
        <v>0</v>
      </c>
    </row>
    <row r="106" spans="2:5" ht="21.75">
      <c r="B106" s="56"/>
      <c r="D106" s="45"/>
      <c r="E106" s="56"/>
    </row>
    <row r="107" spans="2:5" ht="21.75">
      <c r="B107" s="82" t="s">
        <v>219</v>
      </c>
      <c r="C107" s="53"/>
      <c r="D107" s="45"/>
      <c r="E107" s="56"/>
    </row>
    <row r="108" spans="2:5" ht="21.75">
      <c r="B108" s="56"/>
      <c r="C108" s="53"/>
      <c r="D108" s="45"/>
      <c r="E108" s="56"/>
    </row>
    <row r="109" spans="2:5" ht="21.75">
      <c r="B109" s="56">
        <f>+B98+B99+B100+B101+B102+B103+B104+B105</f>
        <v>2165835.9</v>
      </c>
      <c r="D109" s="45"/>
      <c r="E109" s="56">
        <f>+E98+E99+E100+E101+E102+E103+E104+E105</f>
        <v>724798.17</v>
      </c>
    </row>
    <row r="110" spans="2:5" ht="21.75">
      <c r="B110" s="60">
        <f>SUM(B97+B109)</f>
        <v>4173990.2199999997</v>
      </c>
      <c r="D110" s="46"/>
      <c r="E110" s="60">
        <f>SUM(E97+E109)</f>
        <v>1090169.59</v>
      </c>
    </row>
    <row r="111" spans="2:5" ht="21.75">
      <c r="B111" s="177"/>
      <c r="D111" s="178"/>
      <c r="E111" s="177"/>
    </row>
    <row r="112" spans="1:5" ht="18.75" customHeight="1">
      <c r="A112" s="424">
        <v>2</v>
      </c>
      <c r="B112" s="424"/>
      <c r="C112" s="424"/>
      <c r="D112" s="424"/>
      <c r="E112" s="424"/>
    </row>
    <row r="113" spans="1:5" ht="18.75" customHeight="1">
      <c r="A113" s="425" t="s">
        <v>105</v>
      </c>
      <c r="B113" s="426"/>
      <c r="C113" s="48"/>
      <c r="D113" s="48"/>
      <c r="E113" s="49" t="s">
        <v>111</v>
      </c>
    </row>
    <row r="114" spans="1:5" ht="18.75" customHeight="1">
      <c r="A114" s="48" t="s">
        <v>106</v>
      </c>
      <c r="B114" s="48" t="s">
        <v>108</v>
      </c>
      <c r="C114" s="50" t="s">
        <v>2</v>
      </c>
      <c r="D114" s="50" t="s">
        <v>109</v>
      </c>
      <c r="E114" s="48" t="s">
        <v>108</v>
      </c>
    </row>
    <row r="115" spans="1:5" ht="18.75" customHeight="1" thickBot="1">
      <c r="A115" s="51" t="s">
        <v>107</v>
      </c>
      <c r="B115" s="51" t="s">
        <v>107</v>
      </c>
      <c r="C115" s="51"/>
      <c r="D115" s="51" t="s">
        <v>110</v>
      </c>
      <c r="E115" s="51" t="s">
        <v>107</v>
      </c>
    </row>
    <row r="116" spans="1:5" ht="22.5" thickTop="1">
      <c r="A116" s="55"/>
      <c r="B116" s="55"/>
      <c r="C116" s="59" t="s">
        <v>120</v>
      </c>
      <c r="D116" s="45"/>
      <c r="E116" s="56"/>
    </row>
    <row r="117" spans="1:5" ht="21.75">
      <c r="A117" s="56">
        <v>400000</v>
      </c>
      <c r="B117" s="56">
        <v>259680</v>
      </c>
      <c r="C117" t="s">
        <v>22</v>
      </c>
      <c r="D117" s="65" t="s">
        <v>141</v>
      </c>
      <c r="E117" s="56">
        <v>588</v>
      </c>
    </row>
    <row r="118" spans="1:5" ht="21.75">
      <c r="A118" s="56">
        <v>1495307</v>
      </c>
      <c r="B118" s="56">
        <v>594495.16</v>
      </c>
      <c r="C118" t="s">
        <v>12</v>
      </c>
      <c r="D118" s="45">
        <v>100</v>
      </c>
      <c r="E118" s="56">
        <v>127150</v>
      </c>
    </row>
    <row r="119" spans="1:5" ht="21.75">
      <c r="A119" s="56">
        <v>169890</v>
      </c>
      <c r="B119" s="56">
        <v>73700</v>
      </c>
      <c r="C119" t="s">
        <v>13</v>
      </c>
      <c r="D119" s="45">
        <v>120</v>
      </c>
      <c r="E119" s="56">
        <v>14740</v>
      </c>
    </row>
    <row r="120" spans="1:5" ht="21.75">
      <c r="A120" s="56">
        <v>114240</v>
      </c>
      <c r="B120" s="56">
        <v>24400</v>
      </c>
      <c r="C120" t="s">
        <v>14</v>
      </c>
      <c r="D120" s="45">
        <v>130</v>
      </c>
      <c r="E120" s="56">
        <v>4880</v>
      </c>
    </row>
    <row r="121" spans="1:5" ht="21.75">
      <c r="A121" s="56">
        <v>1188030</v>
      </c>
      <c r="B121" s="56">
        <v>430125</v>
      </c>
      <c r="C121" t="s">
        <v>15</v>
      </c>
      <c r="D121" s="45">
        <v>200</v>
      </c>
      <c r="E121" s="56">
        <v>95837</v>
      </c>
    </row>
    <row r="122" spans="1:5" ht="21.75">
      <c r="A122" s="56">
        <v>1546708</v>
      </c>
      <c r="B122" s="56">
        <v>246879.59</v>
      </c>
      <c r="C122" t="s">
        <v>16</v>
      </c>
      <c r="D122" s="45">
        <v>250</v>
      </c>
      <c r="E122" s="56">
        <v>214688</v>
      </c>
    </row>
    <row r="123" spans="1:5" ht="21.75">
      <c r="A123" s="56">
        <v>234069</v>
      </c>
      <c r="B123" s="56">
        <v>33634.7</v>
      </c>
      <c r="C123" t="s">
        <v>17</v>
      </c>
      <c r="D123" s="45">
        <v>270</v>
      </c>
      <c r="E123" s="56">
        <v>0</v>
      </c>
    </row>
    <row r="124" spans="1:5" ht="21.75">
      <c r="A124" s="56">
        <v>68806</v>
      </c>
      <c r="B124" s="56">
        <v>25296</v>
      </c>
      <c r="C124" t="s">
        <v>18</v>
      </c>
      <c r="D124" s="45">
        <v>300</v>
      </c>
      <c r="E124" s="56">
        <v>4016.08</v>
      </c>
    </row>
    <row r="125" spans="1:5" ht="21.75">
      <c r="A125" s="56">
        <v>675040</v>
      </c>
      <c r="B125" s="56">
        <v>38000</v>
      </c>
      <c r="C125" t="s">
        <v>19</v>
      </c>
      <c r="D125" s="45">
        <v>400</v>
      </c>
      <c r="E125" s="56">
        <v>38000</v>
      </c>
    </row>
    <row r="126" spans="1:5" ht="21.75">
      <c r="A126" s="56">
        <v>463800</v>
      </c>
      <c r="B126" s="56">
        <v>45881.59</v>
      </c>
      <c r="C126" t="s">
        <v>20</v>
      </c>
      <c r="D126" s="45">
        <v>450</v>
      </c>
      <c r="E126" s="56">
        <v>45881.59</v>
      </c>
    </row>
    <row r="127" spans="1:5" ht="21.75">
      <c r="A127" s="56">
        <f>2029000+4124000</f>
        <v>6153000</v>
      </c>
      <c r="B127" s="56">
        <f>+E127</f>
        <v>0</v>
      </c>
      <c r="C127" t="s">
        <v>21</v>
      </c>
      <c r="D127" s="45">
        <v>500</v>
      </c>
      <c r="E127" s="56">
        <v>0</v>
      </c>
    </row>
    <row r="128" spans="1:5" ht="21.75">
      <c r="A128" s="56"/>
      <c r="B128" s="56">
        <v>36000</v>
      </c>
      <c r="C128" t="s">
        <v>121</v>
      </c>
      <c r="D128" s="45">
        <v>550</v>
      </c>
      <c r="E128" s="56">
        <v>7000</v>
      </c>
    </row>
    <row r="129" spans="1:5" ht="30" thickBot="1">
      <c r="A129" s="57">
        <f>SUM(A117:A127)</f>
        <v>12508890</v>
      </c>
      <c r="B129" s="57">
        <f>SUM(B117:B128)</f>
        <v>1808092.0400000003</v>
      </c>
      <c r="C129" s="176"/>
      <c r="D129" s="45"/>
      <c r="E129" s="57">
        <f>SUM(E117:E128)</f>
        <v>552780.67</v>
      </c>
    </row>
    <row r="130" spans="2:5" ht="22.5" thickTop="1">
      <c r="B130" s="58">
        <v>75000</v>
      </c>
      <c r="C130" t="s">
        <v>28</v>
      </c>
      <c r="D130" s="45"/>
      <c r="E130" s="56">
        <v>75000</v>
      </c>
    </row>
    <row r="131" spans="1:5" ht="21.75">
      <c r="A131" s="183"/>
      <c r="B131" s="184">
        <v>467932</v>
      </c>
      <c r="C131" s="185" t="s">
        <v>30</v>
      </c>
      <c r="D131" s="186">
        <v>700</v>
      </c>
      <c r="E131" s="184">
        <v>0</v>
      </c>
    </row>
    <row r="132" spans="2:5" s="200" customFormat="1" ht="21.75">
      <c r="B132" s="201">
        <f>861046+5888</f>
        <v>866934</v>
      </c>
      <c r="C132" s="204" t="s">
        <v>124</v>
      </c>
      <c r="D132" s="205">
        <v>3002</v>
      </c>
      <c r="E132" s="206">
        <f>489014+5888</f>
        <v>494902</v>
      </c>
    </row>
    <row r="133" spans="2:5" ht="21.75">
      <c r="B133" s="182">
        <v>1644462.52</v>
      </c>
      <c r="C133" t="s">
        <v>122</v>
      </c>
      <c r="D133" s="45">
        <v>600</v>
      </c>
      <c r="E133" s="56">
        <v>596000</v>
      </c>
    </row>
    <row r="134" spans="2:5" ht="21.75">
      <c r="B134" s="182">
        <v>310110</v>
      </c>
      <c r="C134" t="s">
        <v>117</v>
      </c>
      <c r="D134" s="45">
        <v>602</v>
      </c>
      <c r="E134" s="56">
        <v>0</v>
      </c>
    </row>
    <row r="135" spans="2:5" ht="21.75">
      <c r="B135" s="56">
        <v>417158.74</v>
      </c>
      <c r="C135" s="109" t="s">
        <v>118</v>
      </c>
      <c r="D135" s="112">
        <v>900</v>
      </c>
      <c r="E135" s="111">
        <v>119620.15</v>
      </c>
    </row>
    <row r="136" spans="1:5" s="200" customFormat="1" ht="21.75">
      <c r="A136" s="196"/>
      <c r="B136" s="197">
        <f>283544+E136</f>
        <v>550144</v>
      </c>
      <c r="C136" s="198" t="s">
        <v>101</v>
      </c>
      <c r="D136" s="199">
        <v>704</v>
      </c>
      <c r="E136" s="197">
        <v>266600</v>
      </c>
    </row>
    <row r="137" spans="2:5" ht="21.75">
      <c r="B137" s="56">
        <v>0</v>
      </c>
      <c r="C137" t="s">
        <v>140</v>
      </c>
      <c r="D137" s="63" t="s">
        <v>138</v>
      </c>
      <c r="E137" s="56">
        <v>0</v>
      </c>
    </row>
    <row r="138" spans="2:5" ht="21.75">
      <c r="B138" s="56"/>
      <c r="D138" s="45"/>
      <c r="E138" s="56"/>
    </row>
    <row r="139" spans="2:5" ht="21.75">
      <c r="B139" s="60">
        <f>SUM(B130:B138)</f>
        <v>4331741.26</v>
      </c>
      <c r="D139" s="45"/>
      <c r="E139" s="60">
        <f>SUM(E130:E138)</f>
        <v>1552122.15</v>
      </c>
    </row>
    <row r="140" spans="2:5" ht="21.75">
      <c r="B140" s="60">
        <f>+B129+B139</f>
        <v>6139833.3</v>
      </c>
      <c r="C140" s="44" t="s">
        <v>125</v>
      </c>
      <c r="D140" s="45"/>
      <c r="E140" s="60">
        <f>+E129+E139</f>
        <v>2104902.82</v>
      </c>
    </row>
    <row r="141" spans="2:5" ht="21.75">
      <c r="B141" s="56"/>
      <c r="C141" s="32" t="s">
        <v>126</v>
      </c>
      <c r="D141" s="45"/>
      <c r="E141" s="56"/>
    </row>
    <row r="142" spans="2:5" ht="21.75">
      <c r="B142" s="56">
        <f>+B110-B140</f>
        <v>-1965843.08</v>
      </c>
      <c r="C142" s="44" t="s">
        <v>127</v>
      </c>
      <c r="D142" s="45"/>
      <c r="E142" s="56">
        <f>SUM(E110-E140)</f>
        <v>-1014733.2299999997</v>
      </c>
    </row>
    <row r="143" spans="2:5" ht="21.75">
      <c r="B143" s="56"/>
      <c r="C143" s="32" t="s">
        <v>128</v>
      </c>
      <c r="D143" s="45"/>
      <c r="E143" s="56"/>
    </row>
    <row r="144" spans="2:5" ht="21.75">
      <c r="B144" s="60">
        <f>SUM(B88+B110-B140)</f>
        <v>8364753.22</v>
      </c>
      <c r="C144" s="44" t="s">
        <v>129</v>
      </c>
      <c r="D144" s="46"/>
      <c r="E144" s="60">
        <f>+E88+E110-E140</f>
        <v>8364753.219999999</v>
      </c>
    </row>
    <row r="145" spans="2:6" ht="18" customHeight="1">
      <c r="B145" s="177"/>
      <c r="C145" s="44"/>
      <c r="D145" s="178"/>
      <c r="E145" s="177">
        <f>+B144-E144</f>
        <v>0</v>
      </c>
      <c r="F145" s="53"/>
    </row>
    <row r="146" spans="2:3" ht="18" customHeight="1">
      <c r="B146" s="53"/>
      <c r="C146" s="53"/>
    </row>
    <row r="147" ht="18" customHeight="1">
      <c r="A147" t="s">
        <v>148</v>
      </c>
    </row>
    <row r="148" spans="1:5" ht="19.5" customHeight="1">
      <c r="A148" t="s">
        <v>144</v>
      </c>
      <c r="C148" t="s">
        <v>145</v>
      </c>
      <c r="E148" t="s">
        <v>149</v>
      </c>
    </row>
    <row r="149" spans="1:5" ht="21.75">
      <c r="A149" s="47" t="s">
        <v>102</v>
      </c>
      <c r="D149" s="427" t="s">
        <v>195</v>
      </c>
      <c r="E149" s="427"/>
    </row>
    <row r="150" ht="21.75">
      <c r="A150" s="47" t="s">
        <v>103</v>
      </c>
    </row>
    <row r="151" spans="1:5" ht="23.25">
      <c r="A151" s="456" t="s">
        <v>104</v>
      </c>
      <c r="B151" s="456"/>
      <c r="C151" s="456"/>
      <c r="D151" s="456"/>
      <c r="E151" s="456"/>
    </row>
    <row r="152" spans="1:5" ht="21.75">
      <c r="A152" s="428" t="s">
        <v>220</v>
      </c>
      <c r="B152" s="428"/>
      <c r="C152" s="428"/>
      <c r="D152" s="428"/>
      <c r="E152" s="428"/>
    </row>
    <row r="153" spans="1:5" ht="21.75">
      <c r="A153" s="425" t="s">
        <v>105</v>
      </c>
      <c r="B153" s="426"/>
      <c r="C153" s="48"/>
      <c r="D153" s="48"/>
      <c r="E153" s="49" t="s">
        <v>111</v>
      </c>
    </row>
    <row r="154" spans="1:5" ht="21.75">
      <c r="A154" s="48" t="s">
        <v>106</v>
      </c>
      <c r="B154" s="48" t="s">
        <v>108</v>
      </c>
      <c r="C154" s="50" t="s">
        <v>2</v>
      </c>
      <c r="D154" s="50" t="s">
        <v>109</v>
      </c>
      <c r="E154" s="48" t="s">
        <v>108</v>
      </c>
    </row>
    <row r="155" spans="1:5" ht="22.5" thickBot="1">
      <c r="A155" s="51" t="s">
        <v>107</v>
      </c>
      <c r="B155" s="51" t="s">
        <v>107</v>
      </c>
      <c r="C155" s="51"/>
      <c r="D155" s="51" t="s">
        <v>110</v>
      </c>
      <c r="E155" s="51" t="s">
        <v>107</v>
      </c>
    </row>
    <row r="156" spans="1:5" ht="22.5" thickTop="1">
      <c r="A156" s="54"/>
      <c r="B156" s="62">
        <f>10373005.25-42408.95</f>
        <v>10330596.3</v>
      </c>
      <c r="C156" s="52" t="s">
        <v>52</v>
      </c>
      <c r="D156" s="45"/>
      <c r="E156" s="181">
        <v>9261892.2</v>
      </c>
    </row>
    <row r="157" spans="1:5" ht="21.75">
      <c r="A157" s="55"/>
      <c r="B157" s="55"/>
      <c r="C157" s="59" t="s">
        <v>119</v>
      </c>
      <c r="D157" s="45"/>
      <c r="E157" s="56"/>
    </row>
    <row r="158" spans="1:5" ht="21.75">
      <c r="A158" s="56">
        <f>40000+25000+2000</f>
        <v>67000</v>
      </c>
      <c r="B158" s="56">
        <v>8502.91</v>
      </c>
      <c r="C158" t="s">
        <v>112</v>
      </c>
      <c r="D158" s="63" t="s">
        <v>130</v>
      </c>
      <c r="E158" s="82">
        <v>3242.74</v>
      </c>
    </row>
    <row r="159" spans="1:5" ht="21.75">
      <c r="A159" s="56"/>
      <c r="B159" s="56">
        <v>1377.6</v>
      </c>
      <c r="C159" t="s">
        <v>113</v>
      </c>
      <c r="D159" s="63" t="s">
        <v>131</v>
      </c>
      <c r="E159" s="56">
        <v>0</v>
      </c>
    </row>
    <row r="160" spans="1:5" ht="21.75">
      <c r="A160" s="56">
        <f>3000+5000</f>
        <v>8000</v>
      </c>
      <c r="B160" s="56">
        <v>0</v>
      </c>
      <c r="C160" t="s">
        <v>114</v>
      </c>
      <c r="D160" s="63" t="s">
        <v>132</v>
      </c>
      <c r="E160" s="56">
        <v>0</v>
      </c>
    </row>
    <row r="161" spans="1:5" ht="21.75">
      <c r="A161" s="56"/>
      <c r="B161" s="56">
        <v>800</v>
      </c>
      <c r="C161" t="s">
        <v>115</v>
      </c>
      <c r="D161" s="63" t="s">
        <v>133</v>
      </c>
      <c r="E161" s="56">
        <v>800</v>
      </c>
    </row>
    <row r="162" spans="1:5" ht="21.75">
      <c r="A162" s="56">
        <v>70000</v>
      </c>
      <c r="B162" s="56">
        <v>4000</v>
      </c>
      <c r="C162" t="s">
        <v>48</v>
      </c>
      <c r="D162" s="63" t="s">
        <v>134</v>
      </c>
      <c r="E162" s="56">
        <v>0</v>
      </c>
    </row>
    <row r="163" spans="1:5" ht="21.75">
      <c r="A163" s="56">
        <f>590000+982800+350000+4746090+5000+15000+25000</f>
        <v>6713890</v>
      </c>
      <c r="B163" s="56">
        <v>1628102.39</v>
      </c>
      <c r="C163" t="s">
        <v>116</v>
      </c>
      <c r="D163" s="63" t="s">
        <v>135</v>
      </c>
      <c r="E163" s="82">
        <v>288487.29</v>
      </c>
    </row>
    <row r="164" spans="1:5" ht="21.75">
      <c r="A164" s="56">
        <v>4124000</v>
      </c>
      <c r="B164" s="56">
        <v>0</v>
      </c>
      <c r="C164" t="s">
        <v>19</v>
      </c>
      <c r="D164" s="63" t="s">
        <v>136</v>
      </c>
      <c r="E164" s="56">
        <v>0</v>
      </c>
    </row>
    <row r="165" spans="1:5" ht="22.5" thickBot="1">
      <c r="A165" s="57">
        <f>SUM(A158:A164)</f>
        <v>10982890</v>
      </c>
      <c r="B165" s="57">
        <f>SUM(B158:B164)</f>
        <v>1642782.9</v>
      </c>
      <c r="C165" s="53"/>
      <c r="D165" s="45"/>
      <c r="E165" s="61">
        <f>SUM(E158:E164)</f>
        <v>292530.02999999997</v>
      </c>
    </row>
    <row r="166" spans="2:5" ht="22.5" thickTop="1">
      <c r="B166" s="58">
        <v>0</v>
      </c>
      <c r="C166" t="s">
        <v>28</v>
      </c>
      <c r="D166" s="45"/>
      <c r="E166" s="56"/>
    </row>
    <row r="167" spans="2:5" ht="21.75">
      <c r="B167" s="56">
        <f>5500+E167</f>
        <v>5500</v>
      </c>
      <c r="C167" t="s">
        <v>30</v>
      </c>
      <c r="D167" s="45">
        <v>700</v>
      </c>
      <c r="E167" s="56">
        <v>0</v>
      </c>
    </row>
    <row r="168" spans="2:5" ht="21.75">
      <c r="B168" s="56">
        <v>685183</v>
      </c>
      <c r="C168" s="109" t="s">
        <v>124</v>
      </c>
      <c r="D168" s="110" t="s">
        <v>137</v>
      </c>
      <c r="E168" s="111">
        <v>80100</v>
      </c>
    </row>
    <row r="169" spans="2:5" ht="21.75">
      <c r="B169" s="56">
        <v>0</v>
      </c>
      <c r="C169" t="s">
        <v>123</v>
      </c>
      <c r="D169" s="45">
        <v>600</v>
      </c>
      <c r="E169" s="56">
        <v>0</v>
      </c>
    </row>
    <row r="170" spans="2:5" ht="21.75">
      <c r="B170" s="56">
        <v>0</v>
      </c>
      <c r="C170" t="s">
        <v>117</v>
      </c>
      <c r="D170" s="45">
        <v>602</v>
      </c>
      <c r="E170" s="56">
        <v>0</v>
      </c>
    </row>
    <row r="171" spans="2:5" ht="21.75">
      <c r="B171" s="56">
        <v>193000.73</v>
      </c>
      <c r="C171" s="109" t="s">
        <v>118</v>
      </c>
      <c r="D171" s="112">
        <v>900</v>
      </c>
      <c r="E171" s="111">
        <v>29669.46</v>
      </c>
    </row>
    <row r="172" spans="1:5" ht="21.75">
      <c r="A172" s="200"/>
      <c r="B172" s="201">
        <f>359144+191000</f>
        <v>550144</v>
      </c>
      <c r="C172" s="200" t="s">
        <v>101</v>
      </c>
      <c r="D172" s="202">
        <v>704</v>
      </c>
      <c r="E172" s="201">
        <v>191000</v>
      </c>
    </row>
    <row r="173" spans="2:5" ht="21.75">
      <c r="B173" s="56">
        <v>7210</v>
      </c>
      <c r="C173" t="s">
        <v>139</v>
      </c>
      <c r="D173" s="63" t="s">
        <v>138</v>
      </c>
      <c r="E173" s="56">
        <v>7210</v>
      </c>
    </row>
    <row r="174" spans="2:5" ht="21.75">
      <c r="B174" s="56"/>
      <c r="D174" s="45"/>
      <c r="E174" s="56"/>
    </row>
    <row r="175" spans="2:5" ht="21.75">
      <c r="B175" s="82" t="s">
        <v>219</v>
      </c>
      <c r="C175" s="53"/>
      <c r="D175" s="45"/>
      <c r="E175" s="56"/>
    </row>
    <row r="176" spans="2:5" ht="21.75">
      <c r="B176" s="56"/>
      <c r="C176" s="53"/>
      <c r="D176" s="45"/>
      <c r="E176" s="56"/>
    </row>
    <row r="177" spans="2:5" ht="21.75">
      <c r="B177" s="56">
        <f>+B166+B167+B168+B169+B170+B171+B172+B173</f>
        <v>1441037.73</v>
      </c>
      <c r="D177" s="45"/>
      <c r="E177" s="56">
        <f>+E166+E167+E168+E169+E170+E171+E172+E173</f>
        <v>307979.45999999996</v>
      </c>
    </row>
    <row r="178" spans="2:5" ht="21.75">
      <c r="B178" s="60">
        <f>SUM(B165+B177)</f>
        <v>3083820.63</v>
      </c>
      <c r="D178" s="46"/>
      <c r="E178" s="60">
        <f>SUM(E165+E177)</f>
        <v>600509.49</v>
      </c>
    </row>
    <row r="179" spans="2:5" ht="21.75">
      <c r="B179" s="177"/>
      <c r="D179" s="178"/>
      <c r="E179" s="177"/>
    </row>
    <row r="180" spans="2:5" ht="21.75">
      <c r="B180" s="207"/>
      <c r="C180" s="200"/>
      <c r="D180" s="178"/>
      <c r="E180" s="177"/>
    </row>
    <row r="181" spans="1:5" ht="21.75">
      <c r="A181" s="47" t="s">
        <v>102</v>
      </c>
      <c r="D181" s="427" t="s">
        <v>195</v>
      </c>
      <c r="E181" s="427"/>
    </row>
    <row r="182" ht="21.75">
      <c r="A182" s="47" t="s">
        <v>103</v>
      </c>
    </row>
    <row r="183" spans="1:5" ht="23.25">
      <c r="A183" s="456" t="s">
        <v>104</v>
      </c>
      <c r="B183" s="456"/>
      <c r="C183" s="456"/>
      <c r="D183" s="456"/>
      <c r="E183" s="456"/>
    </row>
    <row r="184" spans="1:5" ht="21.75">
      <c r="A184" s="428" t="s">
        <v>227</v>
      </c>
      <c r="B184" s="428"/>
      <c r="C184" s="428"/>
      <c r="D184" s="428"/>
      <c r="E184" s="428"/>
    </row>
    <row r="185" spans="1:5" ht="21.75">
      <c r="A185" s="425" t="s">
        <v>105</v>
      </c>
      <c r="B185" s="426"/>
      <c r="C185" s="48"/>
      <c r="D185" s="48"/>
      <c r="E185" s="49" t="s">
        <v>111</v>
      </c>
    </row>
    <row r="186" spans="1:5" ht="21.75">
      <c r="A186" s="48" t="s">
        <v>106</v>
      </c>
      <c r="B186" s="48" t="s">
        <v>108</v>
      </c>
      <c r="C186" s="50" t="s">
        <v>2</v>
      </c>
      <c r="D186" s="50" t="s">
        <v>109</v>
      </c>
      <c r="E186" s="48" t="s">
        <v>108</v>
      </c>
    </row>
    <row r="187" spans="1:5" ht="22.5" thickBot="1">
      <c r="A187" s="51" t="s">
        <v>107</v>
      </c>
      <c r="B187" s="51" t="s">
        <v>107</v>
      </c>
      <c r="C187" s="51"/>
      <c r="D187" s="51" t="s">
        <v>110</v>
      </c>
      <c r="E187" s="51" t="s">
        <v>107</v>
      </c>
    </row>
    <row r="188" spans="1:5" ht="22.5" thickTop="1">
      <c r="A188" s="54"/>
      <c r="B188" s="62">
        <f>10373005.25-42408.95</f>
        <v>10330596.3</v>
      </c>
      <c r="C188" s="52" t="s">
        <v>52</v>
      </c>
      <c r="D188" s="45"/>
      <c r="E188" s="181">
        <v>8364753.22</v>
      </c>
    </row>
    <row r="189" spans="1:5" ht="21.75">
      <c r="A189" s="55"/>
      <c r="B189" s="55"/>
      <c r="C189" s="59" t="s">
        <v>119</v>
      </c>
      <c r="D189" s="45"/>
      <c r="E189" s="56"/>
    </row>
    <row r="190" spans="1:5" ht="21.75">
      <c r="A190" s="56">
        <f>40000+25000+2000</f>
        <v>67000</v>
      </c>
      <c r="B190" s="56">
        <f>37215.03+E190</f>
        <v>69393.63</v>
      </c>
      <c r="C190" t="s">
        <v>112</v>
      </c>
      <c r="D190" s="63" t="s">
        <v>130</v>
      </c>
      <c r="E190" s="82">
        <v>32178.6</v>
      </c>
    </row>
    <row r="191" spans="1:5" ht="21.75">
      <c r="A191" s="56"/>
      <c r="B191" s="56">
        <f>41309.6+E191</f>
        <v>44679.6</v>
      </c>
      <c r="C191" t="s">
        <v>113</v>
      </c>
      <c r="D191" s="63" t="s">
        <v>131</v>
      </c>
      <c r="E191" s="56">
        <v>3370</v>
      </c>
    </row>
    <row r="192" spans="1:5" ht="22.5" customHeight="1">
      <c r="A192" s="56">
        <f>3000+5000</f>
        <v>8000</v>
      </c>
      <c r="B192" s="56">
        <v>0</v>
      </c>
      <c r="C192" t="s">
        <v>114</v>
      </c>
      <c r="D192" s="63" t="s">
        <v>132</v>
      </c>
      <c r="E192" s="56">
        <v>0</v>
      </c>
    </row>
    <row r="193" spans="1:5" ht="21.75">
      <c r="A193" s="56"/>
      <c r="B193" s="56">
        <v>800</v>
      </c>
      <c r="C193" t="s">
        <v>115</v>
      </c>
      <c r="D193" s="63" t="s">
        <v>133</v>
      </c>
      <c r="E193" s="56">
        <v>0</v>
      </c>
    </row>
    <row r="194" spans="1:5" ht="21.75">
      <c r="A194" s="56">
        <v>70000</v>
      </c>
      <c r="B194" s="56">
        <f>4000+E194+12000</f>
        <v>36917.15</v>
      </c>
      <c r="C194" t="s">
        <v>48</v>
      </c>
      <c r="D194" s="63" t="s">
        <v>134</v>
      </c>
      <c r="E194" s="56">
        <v>20917.15</v>
      </c>
    </row>
    <row r="195" spans="1:5" ht="21.75">
      <c r="A195" s="56">
        <f>590000+982800+350000+4746090+5000+15000+25000</f>
        <v>6713890</v>
      </c>
      <c r="B195" s="56">
        <f>1912829.69+E195</f>
        <v>2530769.04</v>
      </c>
      <c r="C195" t="s">
        <v>116</v>
      </c>
      <c r="D195" s="63" t="s">
        <v>135</v>
      </c>
      <c r="E195" s="82">
        <v>617939.35</v>
      </c>
    </row>
    <row r="196" spans="1:5" ht="21.75">
      <c r="A196" s="56">
        <v>4124000</v>
      </c>
      <c r="B196" s="56">
        <f>+E196</f>
        <v>1958582</v>
      </c>
      <c r="C196" t="s">
        <v>19</v>
      </c>
      <c r="D196" s="63" t="s">
        <v>136</v>
      </c>
      <c r="E196" s="56">
        <v>1958582</v>
      </c>
    </row>
    <row r="197" spans="1:5" ht="22.5" thickBot="1">
      <c r="A197" s="57">
        <f>SUM(A190:A196)</f>
        <v>10982890</v>
      </c>
      <c r="B197" s="57">
        <f>SUM(B190:B196)</f>
        <v>4641141.42</v>
      </c>
      <c r="C197" s="53"/>
      <c r="D197" s="45"/>
      <c r="E197" s="61">
        <f>SUM(E190:E196)</f>
        <v>2632987.1</v>
      </c>
    </row>
    <row r="198" spans="2:5" ht="22.5" thickTop="1">
      <c r="B198" s="58">
        <f>+E198</f>
        <v>0</v>
      </c>
      <c r="C198" t="s">
        <v>28</v>
      </c>
      <c r="D198" s="45"/>
      <c r="E198" s="56"/>
    </row>
    <row r="199" spans="2:5" ht="21.75">
      <c r="B199" s="56">
        <f>5500+E199</f>
        <v>5500</v>
      </c>
      <c r="C199" t="s">
        <v>30</v>
      </c>
      <c r="D199" s="45">
        <v>700</v>
      </c>
      <c r="E199" s="56">
        <v>0</v>
      </c>
    </row>
    <row r="200" spans="2:5" ht="21.75">
      <c r="B200" s="56">
        <f>605083+80100+696048+E200</f>
        <v>1719031</v>
      </c>
      <c r="C200" s="109" t="s">
        <v>124</v>
      </c>
      <c r="D200" s="110" t="s">
        <v>137</v>
      </c>
      <c r="E200" s="111">
        <v>337800</v>
      </c>
    </row>
    <row r="201" spans="2:5" ht="21.75">
      <c r="B201" s="56">
        <f>+E201</f>
        <v>0</v>
      </c>
      <c r="C201" t="s">
        <v>123</v>
      </c>
      <c r="D201" s="45">
        <v>600</v>
      </c>
      <c r="E201" s="56">
        <v>0</v>
      </c>
    </row>
    <row r="202" spans="2:5" ht="21.75">
      <c r="B202" s="56">
        <f>+E202</f>
        <v>0</v>
      </c>
      <c r="C202" t="s">
        <v>117</v>
      </c>
      <c r="D202" s="45">
        <v>602</v>
      </c>
      <c r="E202" s="56">
        <v>0</v>
      </c>
    </row>
    <row r="203" spans="2:5" ht="21.75">
      <c r="B203" s="56">
        <f>215862.9+5888+E203</f>
        <v>236586.77</v>
      </c>
      <c r="C203" s="109" t="s">
        <v>118</v>
      </c>
      <c r="D203" s="112">
        <v>900</v>
      </c>
      <c r="E203" s="111">
        <v>14835.87</v>
      </c>
    </row>
    <row r="204" spans="1:5" ht="21.75">
      <c r="A204" s="200"/>
      <c r="B204" s="201">
        <f>359144+191000</f>
        <v>550144</v>
      </c>
      <c r="C204" s="200" t="s">
        <v>101</v>
      </c>
      <c r="D204" s="202">
        <v>704</v>
      </c>
      <c r="E204" s="201">
        <v>0</v>
      </c>
    </row>
    <row r="205" spans="2:5" ht="21.75">
      <c r="B205" s="56">
        <f>7210+E205</f>
        <v>172210</v>
      </c>
      <c r="C205" t="s">
        <v>139</v>
      </c>
      <c r="D205" s="63" t="s">
        <v>138</v>
      </c>
      <c r="E205" s="56">
        <v>165000</v>
      </c>
    </row>
    <row r="206" spans="2:5" ht="21.75">
      <c r="B206" s="56"/>
      <c r="D206" s="45"/>
      <c r="E206" s="56"/>
    </row>
    <row r="207" spans="2:5" ht="21.75">
      <c r="B207" s="82" t="s">
        <v>219</v>
      </c>
      <c r="C207" s="53"/>
      <c r="D207" s="45"/>
      <c r="E207" s="56"/>
    </row>
    <row r="208" spans="2:5" ht="21.75">
      <c r="B208" s="56"/>
      <c r="C208" s="53"/>
      <c r="D208" s="45"/>
      <c r="E208" s="56"/>
    </row>
    <row r="209" spans="2:5" ht="21.75">
      <c r="B209" s="56">
        <f>+B198+B199+B200+B201+B202+B203+B204+B205</f>
        <v>2683471.77</v>
      </c>
      <c r="D209" s="45"/>
      <c r="E209" s="56">
        <f>+E198+E199+E200+E201+E202+E203+E204+E205</f>
        <v>517635.87</v>
      </c>
    </row>
    <row r="210" spans="2:5" ht="21.75">
      <c r="B210" s="60">
        <f>SUM(B197+B209)</f>
        <v>7324613.1899999995</v>
      </c>
      <c r="D210" s="46"/>
      <c r="E210" s="60">
        <f>SUM(E197+E209)</f>
        <v>3150622.97</v>
      </c>
    </row>
    <row r="211" spans="2:5" ht="5.25" customHeight="1">
      <c r="B211" s="177"/>
      <c r="D211" s="178"/>
      <c r="E211" s="177"/>
    </row>
    <row r="212" spans="2:5" ht="20.25" customHeight="1">
      <c r="B212" s="203"/>
      <c r="C212" s="200"/>
      <c r="D212" s="178"/>
      <c r="E212" s="177"/>
    </row>
    <row r="213" spans="2:5" ht="20.25" customHeight="1">
      <c r="B213" s="203"/>
      <c r="C213" s="200"/>
      <c r="D213" s="178"/>
      <c r="E213" s="177"/>
    </row>
    <row r="214" spans="2:5" ht="20.25" customHeight="1">
      <c r="B214" s="203"/>
      <c r="C214" s="200"/>
      <c r="D214" s="178"/>
      <c r="E214" s="177"/>
    </row>
    <row r="215" spans="2:5" ht="20.25" customHeight="1">
      <c r="B215" s="203"/>
      <c r="C215" s="200"/>
      <c r="D215" s="178"/>
      <c r="E215" s="177"/>
    </row>
    <row r="216" spans="2:5" ht="20.25" customHeight="1">
      <c r="B216" s="203"/>
      <c r="C216" s="200"/>
      <c r="D216" s="178"/>
      <c r="E216" s="177"/>
    </row>
    <row r="217" spans="2:5" ht="20.25" customHeight="1">
      <c r="B217" s="203"/>
      <c r="C217" s="200"/>
      <c r="D217" s="178"/>
      <c r="E217" s="177"/>
    </row>
    <row r="218" spans="2:5" ht="20.25" customHeight="1">
      <c r="B218" s="203"/>
      <c r="C218" s="200"/>
      <c r="D218" s="178"/>
      <c r="E218" s="177"/>
    </row>
    <row r="219" spans="2:5" ht="21.75" customHeight="1">
      <c r="B219" s="203"/>
      <c r="C219" s="200"/>
      <c r="D219" s="178"/>
      <c r="E219" s="177"/>
    </row>
    <row r="220" spans="2:5" ht="21.75" customHeight="1">
      <c r="B220" s="203"/>
      <c r="C220" s="200"/>
      <c r="D220" s="178"/>
      <c r="E220" s="177"/>
    </row>
    <row r="221" ht="21.75">
      <c r="D221" s="44"/>
    </row>
    <row r="222" spans="1:5" ht="21.75">
      <c r="A222" s="424">
        <v>2</v>
      </c>
      <c r="B222" s="424"/>
      <c r="C222" s="424"/>
      <c r="D222" s="424"/>
      <c r="E222" s="424"/>
    </row>
    <row r="223" spans="1:5" ht="21.75">
      <c r="A223" s="425" t="s">
        <v>105</v>
      </c>
      <c r="B223" s="426"/>
      <c r="C223" s="48"/>
      <c r="D223" s="48"/>
      <c r="E223" s="49" t="s">
        <v>111</v>
      </c>
    </row>
    <row r="224" spans="1:5" ht="20.25" customHeight="1">
      <c r="A224" s="48" t="s">
        <v>106</v>
      </c>
      <c r="B224" s="48" t="s">
        <v>108</v>
      </c>
      <c r="C224" s="50" t="s">
        <v>2</v>
      </c>
      <c r="D224" s="50" t="s">
        <v>109</v>
      </c>
      <c r="E224" s="48" t="s">
        <v>108</v>
      </c>
    </row>
    <row r="225" spans="1:5" ht="18.75" customHeight="1" thickBot="1">
      <c r="A225" s="51" t="s">
        <v>107</v>
      </c>
      <c r="B225" s="51" t="s">
        <v>107</v>
      </c>
      <c r="C225" s="51"/>
      <c r="D225" s="51" t="s">
        <v>110</v>
      </c>
      <c r="E225" s="51" t="s">
        <v>107</v>
      </c>
    </row>
    <row r="226" spans="1:5" ht="21" customHeight="1" thickTop="1">
      <c r="A226" s="55"/>
      <c r="B226" s="55"/>
      <c r="C226" s="59" t="s">
        <v>120</v>
      </c>
      <c r="D226" s="45"/>
      <c r="E226" s="56"/>
    </row>
    <row r="227" spans="1:5" ht="21.75">
      <c r="A227" s="56">
        <v>400000</v>
      </c>
      <c r="B227" s="56">
        <f>259680+E227</f>
        <v>338768</v>
      </c>
      <c r="C227" t="s">
        <v>22</v>
      </c>
      <c r="D227" s="65" t="s">
        <v>141</v>
      </c>
      <c r="E227" s="56">
        <v>79088</v>
      </c>
    </row>
    <row r="228" spans="1:5" ht="21.75">
      <c r="A228" s="56">
        <v>1495307</v>
      </c>
      <c r="B228" s="56">
        <f>594495.16+E228</f>
        <v>721645.16</v>
      </c>
      <c r="C228" t="s">
        <v>12</v>
      </c>
      <c r="D228" s="45">
        <v>100</v>
      </c>
      <c r="E228" s="56">
        <v>127150</v>
      </c>
    </row>
    <row r="229" spans="1:5" ht="21.75">
      <c r="A229" s="56">
        <v>169890</v>
      </c>
      <c r="B229" s="56">
        <f>73700+E229</f>
        <v>88440</v>
      </c>
      <c r="C229" t="s">
        <v>13</v>
      </c>
      <c r="D229" s="45">
        <v>120</v>
      </c>
      <c r="E229" s="56">
        <v>14740</v>
      </c>
    </row>
    <row r="230" spans="1:5" ht="21.75">
      <c r="A230" s="56">
        <v>114240</v>
      </c>
      <c r="B230" s="56">
        <f>24400+E230</f>
        <v>29280</v>
      </c>
      <c r="C230" t="s">
        <v>14</v>
      </c>
      <c r="D230" s="45">
        <v>130</v>
      </c>
      <c r="E230" s="56">
        <v>4880</v>
      </c>
    </row>
    <row r="231" spans="1:5" ht="21.75">
      <c r="A231" s="56">
        <v>1188030</v>
      </c>
      <c r="B231" s="56">
        <f>430125+E231</f>
        <v>515838</v>
      </c>
      <c r="C231" t="s">
        <v>15</v>
      </c>
      <c r="D231" s="45">
        <v>200</v>
      </c>
      <c r="E231" s="56">
        <v>85713</v>
      </c>
    </row>
    <row r="232" spans="1:5" ht="21.75">
      <c r="A232" s="56">
        <v>1546708</v>
      </c>
      <c r="B232" s="56">
        <f>246879.59+E232</f>
        <v>301547.58999999997</v>
      </c>
      <c r="C232" t="s">
        <v>16</v>
      </c>
      <c r="D232" s="45">
        <v>250</v>
      </c>
      <c r="E232" s="56">
        <v>54668</v>
      </c>
    </row>
    <row r="233" spans="1:5" ht="21.75">
      <c r="A233" s="56">
        <v>234069</v>
      </c>
      <c r="B233" s="56">
        <f>33634.7+E233</f>
        <v>34914.7</v>
      </c>
      <c r="C233" t="s">
        <v>17</v>
      </c>
      <c r="D233" s="45">
        <v>270</v>
      </c>
      <c r="E233" s="56">
        <v>1280</v>
      </c>
    </row>
    <row r="234" spans="1:5" ht="21.75">
      <c r="A234" s="56">
        <v>68806</v>
      </c>
      <c r="B234" s="56">
        <f>25296+E234</f>
        <v>29255.52</v>
      </c>
      <c r="C234" t="s">
        <v>18</v>
      </c>
      <c r="D234" s="45">
        <v>300</v>
      </c>
      <c r="E234" s="56">
        <v>3959.52</v>
      </c>
    </row>
    <row r="235" spans="1:5" ht="21.75">
      <c r="A235" s="56">
        <v>675040</v>
      </c>
      <c r="B235" s="56">
        <f>38000+E235</f>
        <v>41264</v>
      </c>
      <c r="C235" t="s">
        <v>19</v>
      </c>
      <c r="D235" s="45">
        <v>400</v>
      </c>
      <c r="E235" s="56">
        <v>3264</v>
      </c>
    </row>
    <row r="236" spans="1:5" ht="21.75">
      <c r="A236" s="56">
        <v>463800</v>
      </c>
      <c r="B236" s="56">
        <v>45881.59</v>
      </c>
      <c r="C236" t="s">
        <v>20</v>
      </c>
      <c r="D236" s="45">
        <v>450</v>
      </c>
      <c r="E236" s="56">
        <v>0</v>
      </c>
    </row>
    <row r="237" spans="1:5" ht="18" customHeight="1">
      <c r="A237" s="56">
        <f>2029000+4124000</f>
        <v>6153000</v>
      </c>
      <c r="B237" s="56">
        <v>0</v>
      </c>
      <c r="C237" t="s">
        <v>21</v>
      </c>
      <c r="D237" s="45">
        <v>500</v>
      </c>
      <c r="E237" s="56">
        <v>0</v>
      </c>
    </row>
    <row r="238" spans="1:5" ht="21.75">
      <c r="A238" s="56"/>
      <c r="B238" s="56">
        <f>36000+E238</f>
        <v>43000</v>
      </c>
      <c r="C238" t="s">
        <v>121</v>
      </c>
      <c r="D238" s="45">
        <v>550</v>
      </c>
      <c r="E238" s="56">
        <v>7000</v>
      </c>
    </row>
    <row r="239" spans="1:5" ht="30" thickBot="1">
      <c r="A239" s="57">
        <f>SUM(A227:A237)</f>
        <v>12508890</v>
      </c>
      <c r="B239" s="57">
        <f>SUM(B227:B238)</f>
        <v>2189834.5599999996</v>
      </c>
      <c r="C239" s="176"/>
      <c r="D239" s="45"/>
      <c r="E239" s="57">
        <f>SUM(E227:E238)</f>
        <v>381742.52</v>
      </c>
    </row>
    <row r="240" spans="2:5" ht="22.5" thickTop="1">
      <c r="B240" s="58">
        <v>75000</v>
      </c>
      <c r="C240" t="s">
        <v>28</v>
      </c>
      <c r="D240" s="45"/>
      <c r="E240" s="56">
        <v>0</v>
      </c>
    </row>
    <row r="241" spans="1:5" ht="21.75">
      <c r="A241" s="183"/>
      <c r="B241" s="184">
        <v>467932</v>
      </c>
      <c r="C241" s="185" t="s">
        <v>30</v>
      </c>
      <c r="D241" s="186">
        <v>700</v>
      </c>
      <c r="E241" s="184">
        <v>0</v>
      </c>
    </row>
    <row r="242" spans="1:5" ht="21.75">
      <c r="A242" s="200"/>
      <c r="B242" s="201">
        <f>866934+E242</f>
        <v>945622</v>
      </c>
      <c r="C242" s="204" t="s">
        <v>124</v>
      </c>
      <c r="D242" s="205">
        <v>3002</v>
      </c>
      <c r="E242" s="206">
        <v>78688</v>
      </c>
    </row>
    <row r="243" spans="2:5" ht="21.75">
      <c r="B243" s="182">
        <f>1644462.52+E243</f>
        <v>1871680.04</v>
      </c>
      <c r="C243" t="s">
        <v>122</v>
      </c>
      <c r="D243" s="45">
        <v>600</v>
      </c>
      <c r="E243" s="56">
        <v>227217.52</v>
      </c>
    </row>
    <row r="244" spans="2:5" ht="21.75">
      <c r="B244" s="182">
        <v>310110</v>
      </c>
      <c r="C244" t="s">
        <v>117</v>
      </c>
      <c r="D244" s="45">
        <v>602</v>
      </c>
      <c r="E244" s="56">
        <v>0</v>
      </c>
    </row>
    <row r="245" spans="2:5" ht="21.75">
      <c r="B245" s="56">
        <f>417158.74+E245</f>
        <v>473723.27999999997</v>
      </c>
      <c r="C245" s="109" t="s">
        <v>118</v>
      </c>
      <c r="D245" s="112">
        <v>900</v>
      </c>
      <c r="E245" s="111">
        <v>56564.54</v>
      </c>
    </row>
    <row r="246" spans="1:5" ht="21.75">
      <c r="A246" s="196"/>
      <c r="B246" s="197">
        <v>550144</v>
      </c>
      <c r="C246" s="198" t="s">
        <v>101</v>
      </c>
      <c r="D246" s="199">
        <v>704</v>
      </c>
      <c r="E246" s="197">
        <v>0</v>
      </c>
    </row>
    <row r="247" spans="2:5" ht="21.75">
      <c r="B247" s="56">
        <f>+E247</f>
        <v>33000</v>
      </c>
      <c r="C247" t="s">
        <v>140</v>
      </c>
      <c r="D247" s="63" t="s">
        <v>138</v>
      </c>
      <c r="E247" s="56">
        <v>33000</v>
      </c>
    </row>
    <row r="248" spans="2:5" ht="18.75" customHeight="1">
      <c r="B248" s="56"/>
      <c r="D248" s="45"/>
      <c r="E248" s="56"/>
    </row>
    <row r="249" spans="2:5" ht="21.75">
      <c r="B249" s="60">
        <f>SUM(B240:B248)</f>
        <v>4727211.32</v>
      </c>
      <c r="D249" s="45"/>
      <c r="E249" s="60">
        <f>SUM(E240:E248)</f>
        <v>395470.06</v>
      </c>
    </row>
    <row r="250" spans="2:5" ht="21.75">
      <c r="B250" s="60">
        <f>+B239+B249</f>
        <v>6917045.88</v>
      </c>
      <c r="C250" s="44" t="s">
        <v>125</v>
      </c>
      <c r="D250" s="45"/>
      <c r="E250" s="60">
        <f>+E239+E249</f>
        <v>777212.5800000001</v>
      </c>
    </row>
    <row r="251" spans="2:5" ht="21.75">
      <c r="B251" s="56"/>
      <c r="C251" s="32" t="s">
        <v>126</v>
      </c>
      <c r="D251" s="45"/>
      <c r="E251" s="56"/>
    </row>
    <row r="252" spans="2:5" ht="21.75">
      <c r="B252" s="56">
        <f>+B210-B250</f>
        <v>407567.3099999996</v>
      </c>
      <c r="C252" s="44" t="s">
        <v>127</v>
      </c>
      <c r="D252" s="45"/>
      <c r="E252" s="56">
        <f>SUM(E210-E250)</f>
        <v>2373410.39</v>
      </c>
    </row>
    <row r="253" spans="2:5" ht="21.75">
      <c r="B253" s="56"/>
      <c r="C253" s="32" t="s">
        <v>128</v>
      </c>
      <c r="D253" s="45"/>
      <c r="E253" s="56"/>
    </row>
    <row r="254" spans="2:5" ht="21.75">
      <c r="B254" s="60">
        <f>SUM(B188+B210-B250)</f>
        <v>10738163.610000003</v>
      </c>
      <c r="C254" s="44" t="s">
        <v>129</v>
      </c>
      <c r="D254" s="46"/>
      <c r="E254" s="60">
        <f>+E188+E210-E250</f>
        <v>10738163.61</v>
      </c>
    </row>
    <row r="255" spans="2:5" ht="18.75" customHeight="1">
      <c r="B255" s="177"/>
      <c r="C255" s="44"/>
      <c r="D255" s="178"/>
      <c r="E255" s="177">
        <f>+B254-E254</f>
        <v>0</v>
      </c>
    </row>
    <row r="256" spans="2:3" ht="11.25" customHeight="1">
      <c r="B256" s="53"/>
      <c r="C256" s="53"/>
    </row>
    <row r="257" ht="21.75">
      <c r="A257" t="s">
        <v>148</v>
      </c>
    </row>
    <row r="258" spans="1:5" ht="21.75">
      <c r="A258" t="s">
        <v>144</v>
      </c>
      <c r="C258" t="s">
        <v>145</v>
      </c>
      <c r="E258" t="s">
        <v>149</v>
      </c>
    </row>
  </sheetData>
  <mergeCells count="22">
    <mergeCell ref="D81:E81"/>
    <mergeCell ref="A83:E83"/>
    <mergeCell ref="A84:E84"/>
    <mergeCell ref="A85:B85"/>
    <mergeCell ref="A112:E112"/>
    <mergeCell ref="A113:B113"/>
    <mergeCell ref="D149:E149"/>
    <mergeCell ref="A151:E151"/>
    <mergeCell ref="A152:E152"/>
    <mergeCell ref="A153:B153"/>
    <mergeCell ref="D181:E181"/>
    <mergeCell ref="A183:E183"/>
    <mergeCell ref="A184:E184"/>
    <mergeCell ref="A185:B185"/>
    <mergeCell ref="A222:E222"/>
    <mergeCell ref="A223:B223"/>
    <mergeCell ref="A37:E37"/>
    <mergeCell ref="A38:B38"/>
    <mergeCell ref="D1:E1"/>
    <mergeCell ref="A3:E3"/>
    <mergeCell ref="A4:E4"/>
    <mergeCell ref="A5:B5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C28">
      <selection activeCell="D34" sqref="D34"/>
    </sheetView>
  </sheetViews>
  <sheetFormatPr defaultColWidth="9.140625" defaultRowHeight="21.75"/>
  <cols>
    <col min="1" max="1" width="51.28125" style="95" customWidth="1"/>
    <col min="2" max="2" width="9.7109375" style="175" customWidth="1"/>
    <col min="3" max="3" width="18.28125" style="95" customWidth="1"/>
    <col min="4" max="4" width="18.421875" style="95" customWidth="1"/>
    <col min="5" max="5" width="11.00390625" style="95" bestFit="1" customWidth="1"/>
    <col min="6" max="16384" width="9.140625" style="95" customWidth="1"/>
  </cols>
  <sheetData>
    <row r="1" spans="1:4" s="161" customFormat="1" ht="21">
      <c r="A1" s="453" t="s">
        <v>0</v>
      </c>
      <c r="B1" s="453"/>
      <c r="C1" s="453"/>
      <c r="D1" s="453"/>
    </row>
    <row r="2" spans="1:4" s="161" customFormat="1" ht="21">
      <c r="A2" s="453" t="s">
        <v>1</v>
      </c>
      <c r="B2" s="453"/>
      <c r="C2" s="453"/>
      <c r="D2" s="453"/>
    </row>
    <row r="3" spans="1:4" s="161" customFormat="1" ht="21">
      <c r="A3" s="453" t="s">
        <v>214</v>
      </c>
      <c r="B3" s="453"/>
      <c r="C3" s="453"/>
      <c r="D3" s="453"/>
    </row>
    <row r="4" s="161" customFormat="1" ht="5.25" customHeight="1">
      <c r="B4" s="160"/>
    </row>
    <row r="5" spans="1:4" s="162" customFormat="1" ht="24" customHeight="1">
      <c r="A5" s="91" t="s">
        <v>2</v>
      </c>
      <c r="B5" s="91" t="s">
        <v>3</v>
      </c>
      <c r="C5" s="91" t="s">
        <v>4</v>
      </c>
      <c r="D5" s="91" t="s">
        <v>5</v>
      </c>
    </row>
    <row r="6" spans="1:4" ht="19.5" customHeight="1">
      <c r="A6" s="92" t="s">
        <v>6</v>
      </c>
      <c r="B6" s="166" t="s">
        <v>191</v>
      </c>
      <c r="C6" s="81">
        <f>27318.55-29564.25+3374.5</f>
        <v>1128.7999999999993</v>
      </c>
      <c r="D6" s="81"/>
    </row>
    <row r="7" spans="1:4" ht="19.5" customHeight="1">
      <c r="A7" s="93" t="s">
        <v>7</v>
      </c>
      <c r="B7" s="167" t="s">
        <v>192</v>
      </c>
      <c r="C7" s="77">
        <v>0</v>
      </c>
      <c r="D7" s="77"/>
    </row>
    <row r="8" spans="1:4" ht="19.5" customHeight="1">
      <c r="A8" s="93" t="s">
        <v>8</v>
      </c>
      <c r="B8" s="167" t="s">
        <v>193</v>
      </c>
      <c r="C8" s="77">
        <f>7263352.31+2976180.8-820123.62</f>
        <v>9419409.49</v>
      </c>
      <c r="D8" s="77"/>
    </row>
    <row r="9" spans="1:4" ht="19.5" customHeight="1">
      <c r="A9" s="93" t="s">
        <v>9</v>
      </c>
      <c r="B9" s="167" t="s">
        <v>194</v>
      </c>
      <c r="C9" s="77">
        <f>293606.41+1098.91</f>
        <v>294705.31999999995</v>
      </c>
      <c r="D9" s="77"/>
    </row>
    <row r="10" spans="1:4" ht="19.5" customHeight="1">
      <c r="A10" s="93" t="s">
        <v>10</v>
      </c>
      <c r="B10" s="166" t="s">
        <v>138</v>
      </c>
      <c r="C10" s="77">
        <f>165000-33000+7210</f>
        <v>139210</v>
      </c>
      <c r="D10" s="77"/>
    </row>
    <row r="11" spans="1:4" ht="19.5" customHeight="1">
      <c r="A11" s="93" t="s">
        <v>101</v>
      </c>
      <c r="B11" s="167"/>
      <c r="C11" s="77">
        <v>0</v>
      </c>
      <c r="D11" s="77"/>
    </row>
    <row r="12" spans="1:4" ht="19.5" customHeight="1">
      <c r="A12" s="93" t="s">
        <v>11</v>
      </c>
      <c r="B12" s="167"/>
      <c r="C12" s="68">
        <v>42408.95</v>
      </c>
      <c r="D12" s="77"/>
    </row>
    <row r="13" spans="1:4" ht="19.5" customHeight="1">
      <c r="A13" s="93" t="s">
        <v>22</v>
      </c>
      <c r="B13" s="167"/>
      <c r="C13" s="77">
        <f>259680+79088+86500+33000</f>
        <v>458268</v>
      </c>
      <c r="D13" s="77"/>
    </row>
    <row r="14" spans="1:4" ht="19.5" customHeight="1">
      <c r="A14" s="93" t="s">
        <v>12</v>
      </c>
      <c r="B14" s="167"/>
      <c r="C14" s="77">
        <f>594495.16+127150</f>
        <v>721645.16</v>
      </c>
      <c r="D14" s="77"/>
    </row>
    <row r="15" spans="1:4" ht="19.5" customHeight="1">
      <c r="A15" s="93" t="s">
        <v>13</v>
      </c>
      <c r="B15" s="167"/>
      <c r="C15" s="77">
        <f>73700+14740</f>
        <v>88440</v>
      </c>
      <c r="D15" s="77"/>
    </row>
    <row r="16" spans="1:4" ht="19.5" customHeight="1">
      <c r="A16" s="93" t="s">
        <v>14</v>
      </c>
      <c r="B16" s="167"/>
      <c r="C16" s="77">
        <f>24400+4880</f>
        <v>29280</v>
      </c>
      <c r="D16" s="77"/>
    </row>
    <row r="17" spans="1:4" ht="19.5" customHeight="1">
      <c r="A17" s="93" t="s">
        <v>15</v>
      </c>
      <c r="B17" s="167"/>
      <c r="C17" s="77">
        <f>430125+85713</f>
        <v>515838</v>
      </c>
      <c r="D17" s="77"/>
    </row>
    <row r="18" spans="1:4" ht="19.5" customHeight="1">
      <c r="A18" s="93" t="s">
        <v>16</v>
      </c>
      <c r="B18" s="167"/>
      <c r="C18" s="77">
        <f>246879.59+54668-165000</f>
        <v>136547.58999999997</v>
      </c>
      <c r="D18" s="77"/>
    </row>
    <row r="19" spans="1:4" ht="19.5" customHeight="1">
      <c r="A19" s="93" t="s">
        <v>17</v>
      </c>
      <c r="B19" s="167"/>
      <c r="C19" s="77">
        <f>33634.7+1280</f>
        <v>34914.7</v>
      </c>
      <c r="D19" s="77"/>
    </row>
    <row r="20" spans="1:4" ht="19.5" customHeight="1">
      <c r="A20" s="93" t="s">
        <v>18</v>
      </c>
      <c r="B20" s="167"/>
      <c r="C20" s="77">
        <f>25296+3959.52</f>
        <v>29255.52</v>
      </c>
      <c r="D20" s="77"/>
    </row>
    <row r="21" spans="1:4" ht="19.5" customHeight="1">
      <c r="A21" s="93" t="s">
        <v>19</v>
      </c>
      <c r="B21" s="167"/>
      <c r="C21" s="77">
        <f>38000+3264</f>
        <v>41264</v>
      </c>
      <c r="D21" s="77"/>
    </row>
    <row r="22" spans="1:4" ht="19.5" customHeight="1">
      <c r="A22" s="93" t="s">
        <v>121</v>
      </c>
      <c r="B22" s="167"/>
      <c r="C22" s="77">
        <f>36000+7000</f>
        <v>43000</v>
      </c>
      <c r="D22" s="77"/>
    </row>
    <row r="23" spans="1:4" ht="19.5" customHeight="1">
      <c r="A23" s="93" t="s">
        <v>20</v>
      </c>
      <c r="B23" s="167"/>
      <c r="C23" s="77">
        <v>45881.59</v>
      </c>
      <c r="D23" s="77"/>
    </row>
    <row r="24" spans="1:4" ht="19.5" customHeight="1">
      <c r="A24" s="93" t="s">
        <v>21</v>
      </c>
      <c r="B24" s="167"/>
      <c r="C24" s="77">
        <v>0</v>
      </c>
      <c r="D24" s="77"/>
    </row>
    <row r="25" spans="1:4" s="163" customFormat="1" ht="19.5" customHeight="1">
      <c r="A25" s="105" t="s">
        <v>25</v>
      </c>
      <c r="B25" s="168"/>
      <c r="C25" s="106"/>
      <c r="D25" s="106">
        <f>2008154.32+2970787.1-1958582-337800</f>
        <v>2682559.42</v>
      </c>
    </row>
    <row r="26" spans="1:4" s="163" customFormat="1" ht="19.5" customHeight="1">
      <c r="A26" s="105" t="s">
        <v>26</v>
      </c>
      <c r="B26" s="169"/>
      <c r="D26" s="107">
        <f>692326.44-7118.54-5888-43558+4274.96+2944+633.19+759.81+1150+1098.91</f>
        <v>646622.7699999999</v>
      </c>
    </row>
    <row r="27" spans="1:4" s="163" customFormat="1" ht="19.5" customHeight="1">
      <c r="A27" s="105" t="s">
        <v>24</v>
      </c>
      <c r="B27" s="170"/>
      <c r="C27" s="106"/>
      <c r="D27" s="107">
        <f>279007.48-227217.52</f>
        <v>51789.95999999999</v>
      </c>
    </row>
    <row r="28" spans="1:4" s="163" customFormat="1" ht="19.5" customHeight="1">
      <c r="A28" s="105" t="s">
        <v>23</v>
      </c>
      <c r="B28" s="170"/>
      <c r="C28" s="106"/>
      <c r="D28" s="107">
        <v>123056.2</v>
      </c>
    </row>
    <row r="29" spans="1:4" ht="19.5" customHeight="1">
      <c r="A29" s="93" t="s">
        <v>27</v>
      </c>
      <c r="B29" s="171"/>
      <c r="C29" s="77"/>
      <c r="D29" s="68">
        <v>2417811.11</v>
      </c>
    </row>
    <row r="30" spans="1:5" ht="19.5" customHeight="1">
      <c r="A30" s="93" t="s">
        <v>28</v>
      </c>
      <c r="B30" s="171"/>
      <c r="C30" s="77"/>
      <c r="D30" s="77">
        <v>967392.39</v>
      </c>
      <c r="E30" s="98"/>
    </row>
    <row r="31" spans="1:4" s="164" customFormat="1" ht="19.5" customHeight="1">
      <c r="A31" s="103" t="s">
        <v>100</v>
      </c>
      <c r="B31" s="172"/>
      <c r="C31" s="104"/>
      <c r="D31" s="104">
        <f>615297-64688-14000+337800</f>
        <v>874409</v>
      </c>
    </row>
    <row r="32" spans="1:4" s="165" customFormat="1" ht="19.5" customHeight="1">
      <c r="A32" s="100" t="s">
        <v>29</v>
      </c>
      <c r="B32" s="173"/>
      <c r="C32" s="101"/>
      <c r="D32" s="101">
        <v>1958582</v>
      </c>
    </row>
    <row r="33" spans="1:4" ht="19.5" customHeight="1">
      <c r="A33" s="94" t="s">
        <v>30</v>
      </c>
      <c r="B33" s="174"/>
      <c r="C33" s="80"/>
      <c r="D33" s="99">
        <v>2314999.27</v>
      </c>
    </row>
    <row r="34" spans="3:4" ht="19.5" customHeight="1" thickBot="1">
      <c r="C34" s="96">
        <f>SUM(C6:C33)</f>
        <v>12041197.12</v>
      </c>
      <c r="D34" s="97">
        <f>SUM(D6:D33)</f>
        <v>12037222.12</v>
      </c>
    </row>
    <row r="35" ht="19.5" customHeight="1" thickTop="1">
      <c r="D35" s="98">
        <f>C34-D34</f>
        <v>3975</v>
      </c>
    </row>
    <row r="36" spans="1:4" ht="19.5" customHeight="1">
      <c r="A36" s="161" t="s">
        <v>190</v>
      </c>
      <c r="B36" s="160"/>
      <c r="C36" s="159"/>
      <c r="D36" s="187"/>
    </row>
    <row r="37" spans="1:4" ht="19.5" customHeight="1">
      <c r="A37" s="95" t="s">
        <v>183</v>
      </c>
      <c r="B37" s="160"/>
      <c r="D37" s="188"/>
    </row>
    <row r="38" spans="1:4" ht="19.5" customHeight="1">
      <c r="A38" s="95" t="s">
        <v>213</v>
      </c>
      <c r="B38" s="160"/>
      <c r="D38" s="98"/>
    </row>
    <row r="39" spans="1:4" ht="19.5" customHeight="1">
      <c r="A39" s="95" t="s">
        <v>184</v>
      </c>
      <c r="B39" s="160"/>
      <c r="D39" s="98"/>
    </row>
    <row r="40" spans="1:4" ht="19.5" customHeight="1">
      <c r="A40" s="95" t="s">
        <v>185</v>
      </c>
      <c r="B40" s="160"/>
      <c r="D40" s="98"/>
    </row>
    <row r="41" spans="1:3" s="161" customFormat="1" ht="19.5" customHeight="1">
      <c r="A41" s="161" t="s">
        <v>186</v>
      </c>
      <c r="B41" s="160"/>
      <c r="C41" s="161" t="s">
        <v>187</v>
      </c>
    </row>
    <row r="42" spans="1:4" ht="19.5" customHeight="1">
      <c r="A42" s="95" t="s">
        <v>188</v>
      </c>
      <c r="B42" s="160"/>
      <c r="D42" s="95" t="s">
        <v>142</v>
      </c>
    </row>
    <row r="43" spans="1:4" ht="19.5" customHeight="1">
      <c r="A43" s="95" t="s">
        <v>189</v>
      </c>
      <c r="B43" s="160"/>
      <c r="D43" s="95" t="s">
        <v>143</v>
      </c>
    </row>
  </sheetData>
  <mergeCells count="3">
    <mergeCell ref="A1:D1"/>
    <mergeCell ref="A2:D2"/>
    <mergeCell ref="A3:D3"/>
  </mergeCells>
  <printOptions/>
  <pageMargins left="0.7480314960629921" right="0.47" top="0.5905511811023623" bottom="0.5905511811023623" header="0.4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:J10"/>
    </sheetView>
  </sheetViews>
  <sheetFormatPr defaultColWidth="9.140625" defaultRowHeight="21.75"/>
  <cols>
    <col min="5" max="7" width="11.140625" style="158" customWidth="1"/>
    <col min="10" max="10" width="10.00390625" style="0" bestFit="1" customWidth="1"/>
  </cols>
  <sheetData>
    <row r="1" spans="1:10" ht="23.25">
      <c r="A1" s="456" t="s">
        <v>0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0" ht="23.25">
      <c r="A2" s="456" t="s">
        <v>221</v>
      </c>
      <c r="B2" s="456"/>
      <c r="C2" s="456"/>
      <c r="D2" s="456"/>
      <c r="E2" s="456"/>
      <c r="F2" s="456"/>
      <c r="G2" s="456"/>
      <c r="H2" s="456"/>
      <c r="I2" s="456"/>
      <c r="J2" s="456"/>
    </row>
    <row r="3" spans="1:10" ht="23.25">
      <c r="A3" s="456" t="s">
        <v>222</v>
      </c>
      <c r="B3" s="456"/>
      <c r="C3" s="456"/>
      <c r="D3" s="456"/>
      <c r="E3" s="456"/>
      <c r="F3" s="456"/>
      <c r="G3" s="456"/>
      <c r="H3" s="456"/>
      <c r="I3" s="456"/>
      <c r="J3" s="456"/>
    </row>
    <row r="5" ht="21.75">
      <c r="A5" s="148" t="s">
        <v>223</v>
      </c>
    </row>
    <row r="6" spans="1:10" ht="21.75">
      <c r="A6" t="s">
        <v>224</v>
      </c>
      <c r="J6" s="208">
        <v>75000</v>
      </c>
    </row>
  </sheetData>
  <mergeCells count="3">
    <mergeCell ref="A1:J1"/>
    <mergeCell ref="A2:J2"/>
    <mergeCell ref="A3:J3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D10">
      <selection activeCell="F15" sqref="F15"/>
    </sheetView>
  </sheetViews>
  <sheetFormatPr defaultColWidth="9.140625" defaultRowHeight="22.5" customHeight="1"/>
  <cols>
    <col min="1" max="1" width="4.8515625" style="293" customWidth="1"/>
    <col min="2" max="2" width="37.7109375" style="293" customWidth="1"/>
    <col min="3" max="3" width="13.28125" style="299" customWidth="1"/>
    <col min="4" max="4" width="14.57421875" style="299" customWidth="1"/>
    <col min="5" max="5" width="4.8515625" style="299" customWidth="1"/>
    <col min="6" max="6" width="48.7109375" style="299" customWidth="1"/>
    <col min="7" max="7" width="13.28125" style="299" customWidth="1"/>
    <col min="8" max="8" width="15.140625" style="299" customWidth="1"/>
    <col min="9" max="16384" width="4.8515625" style="293" customWidth="1"/>
  </cols>
  <sheetData>
    <row r="1" spans="1:8" ht="22.5" customHeight="1">
      <c r="A1" s="438" t="s">
        <v>0</v>
      </c>
      <c r="B1" s="438"/>
      <c r="C1" s="438"/>
      <c r="D1" s="438"/>
      <c r="E1" s="438"/>
      <c r="F1" s="438"/>
      <c r="G1" s="438"/>
      <c r="H1" s="438"/>
    </row>
    <row r="2" spans="1:8" ht="22.5" customHeight="1">
      <c r="A2" s="438" t="s">
        <v>322</v>
      </c>
      <c r="B2" s="438"/>
      <c r="C2" s="438"/>
      <c r="D2" s="438"/>
      <c r="E2" s="438"/>
      <c r="F2" s="438"/>
      <c r="G2" s="438"/>
      <c r="H2" s="438"/>
    </row>
    <row r="3" spans="1:8" ht="22.5" customHeight="1" thickBot="1">
      <c r="A3" s="438" t="s">
        <v>346</v>
      </c>
      <c r="B3" s="438"/>
      <c r="C3" s="438"/>
      <c r="D3" s="438"/>
      <c r="E3" s="438"/>
      <c r="F3" s="438"/>
      <c r="G3" s="438"/>
      <c r="H3" s="438"/>
    </row>
    <row r="4" spans="1:8" s="151" customFormat="1" ht="22.5" customHeight="1">
      <c r="A4" s="439" t="s">
        <v>323</v>
      </c>
      <c r="B4" s="439"/>
      <c r="C4" s="294"/>
      <c r="D4" s="295"/>
      <c r="E4" s="440" t="s">
        <v>324</v>
      </c>
      <c r="F4" s="440"/>
      <c r="G4" s="294"/>
      <c r="H4" s="294"/>
    </row>
    <row r="5" spans="1:8" ht="22.5" customHeight="1" thickBot="1">
      <c r="A5" s="296" t="s">
        <v>325</v>
      </c>
      <c r="B5" s="296"/>
      <c r="C5" s="297"/>
      <c r="D5" s="298">
        <v>27169031.99</v>
      </c>
      <c r="E5" s="299" t="s">
        <v>326</v>
      </c>
      <c r="G5" s="297"/>
      <c r="H5" s="335">
        <f>+D5</f>
        <v>27169031.99</v>
      </c>
    </row>
    <row r="6" spans="1:8" ht="22.5" customHeight="1" thickTop="1">
      <c r="A6" s="296"/>
      <c r="B6" s="296"/>
      <c r="C6" s="297"/>
      <c r="D6" s="300"/>
      <c r="E6" s="299" t="s">
        <v>329</v>
      </c>
      <c r="G6" s="297"/>
      <c r="H6" s="297">
        <v>629882.46</v>
      </c>
    </row>
    <row r="7" spans="1:8" ht="22.5" customHeight="1">
      <c r="A7" s="296" t="s">
        <v>327</v>
      </c>
      <c r="B7" s="296"/>
      <c r="C7" s="297"/>
      <c r="D7" s="300"/>
      <c r="E7" s="293" t="s">
        <v>270</v>
      </c>
      <c r="F7" s="293"/>
      <c r="G7" s="336"/>
      <c r="H7" s="297">
        <v>284326</v>
      </c>
    </row>
    <row r="8" spans="1:8" ht="22.5" customHeight="1">
      <c r="A8" s="296" t="s">
        <v>11</v>
      </c>
      <c r="B8" s="296"/>
      <c r="C8" s="297"/>
      <c r="D8" s="301">
        <f>SUM(C9:C10)</f>
        <v>21833.3</v>
      </c>
      <c r="E8" s="299" t="s">
        <v>122</v>
      </c>
      <c r="G8" s="297"/>
      <c r="H8" s="297">
        <v>3404260</v>
      </c>
    </row>
    <row r="9" spans="1:8" ht="22.5" customHeight="1">
      <c r="A9" s="302" t="s">
        <v>330</v>
      </c>
      <c r="B9" s="296" t="s">
        <v>32</v>
      </c>
      <c r="C9" s="297">
        <v>13253.3</v>
      </c>
      <c r="D9" s="300"/>
      <c r="E9" s="299" t="s">
        <v>328</v>
      </c>
      <c r="G9" s="297"/>
      <c r="H9" s="297">
        <v>446124.82</v>
      </c>
    </row>
    <row r="10" spans="1:8" ht="22.5" customHeight="1">
      <c r="A10" s="302" t="s">
        <v>330</v>
      </c>
      <c r="B10" s="296" t="s">
        <v>31</v>
      </c>
      <c r="C10" s="297">
        <v>8580</v>
      </c>
      <c r="D10" s="300"/>
      <c r="E10" s="299" t="s">
        <v>28</v>
      </c>
      <c r="G10" s="297"/>
      <c r="H10" s="297">
        <v>829580.05</v>
      </c>
    </row>
    <row r="11" spans="1:8" ht="22.5" customHeight="1">
      <c r="A11" s="302"/>
      <c r="B11" s="296"/>
      <c r="C11" s="297"/>
      <c r="D11" s="300"/>
      <c r="E11" s="299" t="s">
        <v>27</v>
      </c>
      <c r="G11" s="297"/>
      <c r="H11" s="297">
        <v>2650735.58</v>
      </c>
    </row>
    <row r="12" spans="1:8" ht="22.5" customHeight="1">
      <c r="A12" s="296" t="s">
        <v>331</v>
      </c>
      <c r="B12" s="296"/>
      <c r="C12" s="297">
        <v>0</v>
      </c>
      <c r="D12" s="300"/>
      <c r="E12" s="299" t="s">
        <v>467</v>
      </c>
      <c r="G12" s="297">
        <v>2777283.27</v>
      </c>
      <c r="H12" s="297"/>
    </row>
    <row r="13" spans="1:8" ht="22.5" customHeight="1">
      <c r="A13" s="296" t="s">
        <v>332</v>
      </c>
      <c r="B13" s="296"/>
      <c r="C13" s="297"/>
      <c r="D13" s="300"/>
      <c r="E13" s="303" t="s">
        <v>155</v>
      </c>
      <c r="F13" s="299" t="s">
        <v>333</v>
      </c>
      <c r="G13" s="297">
        <v>931697.88</v>
      </c>
      <c r="H13" s="297"/>
    </row>
    <row r="14" spans="1:8" ht="22.5" customHeight="1">
      <c r="A14" s="302" t="s">
        <v>330</v>
      </c>
      <c r="B14" s="296" t="s">
        <v>334</v>
      </c>
      <c r="C14" s="297">
        <v>9550960.13</v>
      </c>
      <c r="D14" s="300"/>
      <c r="F14" s="299" t="s">
        <v>335</v>
      </c>
      <c r="G14" s="297">
        <f>128700+7637.14+1140-3852+21833.3</f>
        <v>155458.44</v>
      </c>
      <c r="H14" s="297"/>
    </row>
    <row r="15" spans="1:8" ht="22.5" customHeight="1">
      <c r="A15" s="302" t="s">
        <v>330</v>
      </c>
      <c r="B15" s="296" t="s">
        <v>336</v>
      </c>
      <c r="C15" s="297">
        <v>239187.3</v>
      </c>
      <c r="D15" s="300"/>
      <c r="E15" s="303" t="s">
        <v>337</v>
      </c>
      <c r="F15" s="299" t="s">
        <v>338</v>
      </c>
      <c r="G15" s="304">
        <f>154644+309288+298338+29500+11000+17000+225672.6+151500+224500+88400+221000+205500+81200</f>
        <v>2017542.6</v>
      </c>
      <c r="H15" s="297"/>
    </row>
    <row r="16" spans="1:8" ht="22.5" customHeight="1">
      <c r="A16" s="302" t="s">
        <v>330</v>
      </c>
      <c r="B16" s="296" t="s">
        <v>339</v>
      </c>
      <c r="C16" s="297"/>
      <c r="D16" s="300"/>
      <c r="F16" s="299" t="s">
        <v>27</v>
      </c>
      <c r="G16" s="297">
        <v>232924.47</v>
      </c>
      <c r="H16" s="297"/>
    </row>
    <row r="17" spans="1:8" ht="22.5" customHeight="1">
      <c r="A17" s="296" t="s">
        <v>340</v>
      </c>
      <c r="B17" s="296"/>
      <c r="C17" s="297"/>
      <c r="D17" s="300"/>
      <c r="F17" s="299" t="s">
        <v>11</v>
      </c>
      <c r="G17" s="304">
        <v>42408.95</v>
      </c>
      <c r="H17" s="297"/>
    </row>
    <row r="18" spans="1:8" ht="22.5" customHeight="1" thickBot="1">
      <c r="A18" s="305" t="s">
        <v>330</v>
      </c>
      <c r="B18" s="306" t="s">
        <v>339</v>
      </c>
      <c r="C18" s="307">
        <v>4491.75</v>
      </c>
      <c r="D18" s="308">
        <f>SUM(C12:C18)</f>
        <v>9794639.180000002</v>
      </c>
      <c r="E18" s="309" t="s">
        <v>468</v>
      </c>
      <c r="F18" s="309"/>
      <c r="G18" s="307"/>
      <c r="H18" s="307">
        <f>+G12+G13+G14-G15-G16-G17</f>
        <v>1571563.5699999998</v>
      </c>
    </row>
    <row r="19" spans="3:8" s="151" customFormat="1" ht="27" customHeight="1" thickBot="1">
      <c r="C19" s="346"/>
      <c r="D19" s="347">
        <f>SUM(D7:D18)</f>
        <v>9816472.480000002</v>
      </c>
      <c r="E19" s="346"/>
      <c r="F19" s="346"/>
      <c r="G19" s="346"/>
      <c r="H19" s="348">
        <f>SUM(H6:H18)</f>
        <v>9816472.48</v>
      </c>
    </row>
    <row r="20" spans="4:8" ht="27" customHeight="1" thickTop="1">
      <c r="D20" s="310"/>
      <c r="H20" s="310"/>
    </row>
    <row r="21" spans="1:8" ht="22.5" customHeight="1">
      <c r="A21" s="293" t="s">
        <v>341</v>
      </c>
      <c r="C21" s="311" t="s">
        <v>341</v>
      </c>
      <c r="D21" s="293"/>
      <c r="E21" s="293"/>
      <c r="F21" s="311" t="s">
        <v>341</v>
      </c>
      <c r="G21" s="293"/>
      <c r="H21" s="293"/>
    </row>
    <row r="22" spans="2:8" ht="22.5" customHeight="1">
      <c r="B22" s="293" t="s">
        <v>342</v>
      </c>
      <c r="C22" s="293"/>
      <c r="D22" s="293" t="s">
        <v>343</v>
      </c>
      <c r="E22" s="293"/>
      <c r="F22" s="293"/>
      <c r="G22" s="293" t="s">
        <v>344</v>
      </c>
      <c r="H22" s="293"/>
    </row>
    <row r="23" spans="2:8" ht="22.5" customHeight="1">
      <c r="B23" s="293" t="s">
        <v>345</v>
      </c>
      <c r="C23" s="293"/>
      <c r="D23" s="293" t="s">
        <v>466</v>
      </c>
      <c r="E23" s="293"/>
      <c r="F23" s="293"/>
      <c r="G23" s="293"/>
      <c r="H23" s="293"/>
    </row>
  </sheetData>
  <mergeCells count="5">
    <mergeCell ref="A1:H1"/>
    <mergeCell ref="A2:H2"/>
    <mergeCell ref="A3:H3"/>
    <mergeCell ref="A4:B4"/>
    <mergeCell ref="E4:F4"/>
  </mergeCells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45">
      <selection activeCell="B37" sqref="B37"/>
    </sheetView>
  </sheetViews>
  <sheetFormatPr defaultColWidth="9.140625" defaultRowHeight="23.25" customHeight="1"/>
  <cols>
    <col min="1" max="1" width="2.28125" style="361" customWidth="1"/>
    <col min="2" max="2" width="20.7109375" style="400" customWidth="1"/>
    <col min="3" max="6" width="12.00390625" style="402" customWidth="1"/>
    <col min="7" max="7" width="15.140625" style="361" customWidth="1"/>
    <col min="8" max="8" width="13.421875" style="403" customWidth="1"/>
    <col min="9" max="9" width="11.140625" style="361" bestFit="1" customWidth="1"/>
    <col min="10" max="16384" width="9.140625" style="361" customWidth="1"/>
  </cols>
  <sheetData>
    <row r="1" spans="1:8" ht="23.25" customHeight="1">
      <c r="A1" s="443" t="s">
        <v>0</v>
      </c>
      <c r="B1" s="443"/>
      <c r="C1" s="443"/>
      <c r="D1" s="443"/>
      <c r="E1" s="443"/>
      <c r="F1" s="443"/>
      <c r="G1" s="443"/>
      <c r="H1" s="443"/>
    </row>
    <row r="2" spans="1:8" ht="23.25" customHeight="1">
      <c r="A2" s="443" t="s">
        <v>413</v>
      </c>
      <c r="B2" s="443"/>
      <c r="C2" s="443"/>
      <c r="D2" s="443"/>
      <c r="E2" s="443"/>
      <c r="F2" s="443"/>
      <c r="G2" s="443"/>
      <c r="H2" s="443"/>
    </row>
    <row r="3" spans="1:8" ht="23.25" customHeight="1">
      <c r="A3" s="443" t="s">
        <v>264</v>
      </c>
      <c r="B3" s="443"/>
      <c r="C3" s="443"/>
      <c r="D3" s="443"/>
      <c r="E3" s="443"/>
      <c r="F3" s="443"/>
      <c r="G3" s="443"/>
      <c r="H3" s="443"/>
    </row>
    <row r="4" spans="1:8" s="363" customFormat="1" ht="23.25" customHeight="1">
      <c r="A4" s="444" t="s">
        <v>414</v>
      </c>
      <c r="B4" s="444"/>
      <c r="C4" s="362" t="s">
        <v>52</v>
      </c>
      <c r="D4" s="444" t="s">
        <v>415</v>
      </c>
      <c r="E4" s="444" t="s">
        <v>416</v>
      </c>
      <c r="F4" s="444" t="s">
        <v>417</v>
      </c>
      <c r="G4" s="444" t="s">
        <v>418</v>
      </c>
      <c r="H4" s="446" t="s">
        <v>419</v>
      </c>
    </row>
    <row r="5" spans="1:8" s="363" customFormat="1" ht="23.25" customHeight="1">
      <c r="A5" s="445"/>
      <c r="B5" s="445"/>
      <c r="C5" s="364" t="s">
        <v>420</v>
      </c>
      <c r="D5" s="445"/>
      <c r="E5" s="445"/>
      <c r="F5" s="445"/>
      <c r="G5" s="445"/>
      <c r="H5" s="447"/>
    </row>
    <row r="6" spans="1:8" s="371" customFormat="1" ht="23.25" customHeight="1">
      <c r="A6" s="365" t="s">
        <v>421</v>
      </c>
      <c r="B6" s="366" t="s">
        <v>422</v>
      </c>
      <c r="C6" s="367"/>
      <c r="D6" s="368"/>
      <c r="E6" s="368"/>
      <c r="F6" s="368"/>
      <c r="G6" s="369"/>
      <c r="H6" s="370"/>
    </row>
    <row r="7" spans="1:8" ht="23.25" customHeight="1">
      <c r="A7" s="386"/>
      <c r="B7" s="387" t="s">
        <v>461</v>
      </c>
      <c r="C7" s="388">
        <v>0</v>
      </c>
      <c r="D7" s="388">
        <f>250000+891000</f>
        <v>1141000</v>
      </c>
      <c r="E7" s="415"/>
      <c r="F7" s="389">
        <f>+C7+D7-E7</f>
        <v>1141000</v>
      </c>
      <c r="G7" s="390" t="s">
        <v>434</v>
      </c>
      <c r="H7" s="391">
        <f>+F7</f>
        <v>1141000</v>
      </c>
    </row>
    <row r="8" spans="1:8" ht="23.25" customHeight="1">
      <c r="A8" s="372"/>
      <c r="B8" s="373" t="s">
        <v>423</v>
      </c>
      <c r="C8" s="374">
        <v>1388500</v>
      </c>
      <c r="D8" s="374"/>
      <c r="E8" s="375"/>
      <c r="F8" s="389">
        <f aca="true" t="shared" si="0" ref="F8:F49">+C8+D8-E8</f>
        <v>1388500</v>
      </c>
      <c r="G8" s="377" t="s">
        <v>424</v>
      </c>
      <c r="H8" s="378">
        <v>89500</v>
      </c>
    </row>
    <row r="9" spans="1:8" ht="23.25" customHeight="1">
      <c r="A9" s="372"/>
      <c r="B9" s="373" t="s">
        <v>425</v>
      </c>
      <c r="C9" s="374">
        <v>397000</v>
      </c>
      <c r="D9" s="375"/>
      <c r="E9" s="375"/>
      <c r="F9" s="389">
        <f t="shared" si="0"/>
        <v>397000</v>
      </c>
      <c r="G9" s="377"/>
      <c r="H9" s="378"/>
    </row>
    <row r="10" spans="1:8" ht="23.25" customHeight="1">
      <c r="A10" s="372"/>
      <c r="B10" s="373" t="s">
        <v>426</v>
      </c>
      <c r="C10" s="374">
        <v>264500</v>
      </c>
      <c r="D10" s="375"/>
      <c r="E10" s="375"/>
      <c r="F10" s="389">
        <f t="shared" si="0"/>
        <v>264500</v>
      </c>
      <c r="G10" s="377"/>
      <c r="H10" s="378"/>
    </row>
    <row r="11" spans="1:8" ht="23.25" customHeight="1">
      <c r="A11" s="372"/>
      <c r="B11" s="373" t="s">
        <v>427</v>
      </c>
      <c r="C11" s="374">
        <v>1600000</v>
      </c>
      <c r="D11" s="375"/>
      <c r="E11" s="375"/>
      <c r="F11" s="389">
        <f t="shared" si="0"/>
        <v>1600000</v>
      </c>
      <c r="G11" s="377"/>
      <c r="H11" s="378"/>
    </row>
    <row r="12" spans="1:8" ht="23.25" customHeight="1">
      <c r="A12" s="372"/>
      <c r="B12" s="373" t="s">
        <v>428</v>
      </c>
      <c r="C12" s="374">
        <v>79000</v>
      </c>
      <c r="D12" s="374"/>
      <c r="E12" s="375"/>
      <c r="F12" s="389">
        <f t="shared" si="0"/>
        <v>79000</v>
      </c>
      <c r="G12" s="377"/>
      <c r="H12" s="378"/>
    </row>
    <row r="13" spans="1:8" ht="23.25" customHeight="1">
      <c r="A13" s="372"/>
      <c r="B13" s="373" t="s">
        <v>429</v>
      </c>
      <c r="C13" s="374">
        <v>189500</v>
      </c>
      <c r="D13" s="375"/>
      <c r="E13" s="375"/>
      <c r="F13" s="389">
        <f t="shared" si="0"/>
        <v>189500</v>
      </c>
      <c r="G13" s="377"/>
      <c r="H13" s="378"/>
    </row>
    <row r="14" spans="1:8" ht="23.25" customHeight="1">
      <c r="A14" s="372"/>
      <c r="B14" s="373" t="s">
        <v>430</v>
      </c>
      <c r="C14" s="374">
        <v>3055454</v>
      </c>
      <c r="D14" s="374">
        <f>298000*2</f>
        <v>596000</v>
      </c>
      <c r="E14" s="375"/>
      <c r="F14" s="389">
        <f t="shared" si="0"/>
        <v>3651454</v>
      </c>
      <c r="G14" s="377" t="s">
        <v>30</v>
      </c>
      <c r="H14" s="378">
        <f>49000+16000+238798+363400</f>
        <v>667198</v>
      </c>
    </row>
    <row r="15" spans="1:8" ht="23.25" customHeight="1">
      <c r="A15" s="372"/>
      <c r="B15" s="373"/>
      <c r="C15" s="374"/>
      <c r="D15" s="374"/>
      <c r="E15" s="375"/>
      <c r="F15" s="389">
        <f t="shared" si="0"/>
        <v>0</v>
      </c>
      <c r="G15" s="377" t="s">
        <v>431</v>
      </c>
      <c r="H15" s="378">
        <v>52000</v>
      </c>
    </row>
    <row r="16" spans="1:9" ht="23.25" customHeight="1">
      <c r="A16" s="372"/>
      <c r="B16" s="373"/>
      <c r="C16" s="374"/>
      <c r="D16" s="374"/>
      <c r="E16" s="375"/>
      <c r="F16" s="389">
        <f t="shared" si="0"/>
        <v>0</v>
      </c>
      <c r="G16" s="377" t="s">
        <v>424</v>
      </c>
      <c r="H16" s="378">
        <f>298000*2</f>
        <v>596000</v>
      </c>
      <c r="I16" s="379"/>
    </row>
    <row r="17" spans="1:9" ht="23.25" customHeight="1">
      <c r="A17" s="372"/>
      <c r="B17" s="373"/>
      <c r="C17" s="374"/>
      <c r="D17" s="374"/>
      <c r="E17" s="375"/>
      <c r="F17" s="389"/>
      <c r="G17" s="377" t="s">
        <v>434</v>
      </c>
      <c r="H17" s="378">
        <v>596000</v>
      </c>
      <c r="I17" s="379"/>
    </row>
    <row r="18" spans="1:8" ht="23.25" customHeight="1">
      <c r="A18" s="372"/>
      <c r="B18" s="373" t="s">
        <v>432</v>
      </c>
      <c r="C18" s="374">
        <v>80000</v>
      </c>
      <c r="D18" s="375"/>
      <c r="E18" s="375"/>
      <c r="F18" s="389">
        <f t="shared" si="0"/>
        <v>80000</v>
      </c>
      <c r="G18" s="377"/>
      <c r="H18" s="378"/>
    </row>
    <row r="19" spans="1:8" ht="23.25" customHeight="1">
      <c r="A19" s="372"/>
      <c r="B19" s="373" t="s">
        <v>433</v>
      </c>
      <c r="C19" s="374">
        <v>8749358.5</v>
      </c>
      <c r="D19" s="374">
        <f>212500+364000+145255+151500</f>
        <v>873255</v>
      </c>
      <c r="E19" s="375"/>
      <c r="F19" s="389">
        <f t="shared" si="0"/>
        <v>9622613.5</v>
      </c>
      <c r="G19" s="377" t="s">
        <v>424</v>
      </c>
      <c r="H19" s="378">
        <f>129930+77040+873255</f>
        <v>1080225</v>
      </c>
    </row>
    <row r="20" spans="1:8" ht="23.25" customHeight="1">
      <c r="A20" s="372"/>
      <c r="B20" s="373"/>
      <c r="C20" s="374"/>
      <c r="D20" s="374"/>
      <c r="E20" s="375"/>
      <c r="F20" s="389">
        <f t="shared" si="0"/>
        <v>0</v>
      </c>
      <c r="G20" s="377" t="s">
        <v>30</v>
      </c>
      <c r="H20" s="378">
        <f>173500+151500</f>
        <v>325000</v>
      </c>
    </row>
    <row r="21" spans="1:9" ht="23.25" customHeight="1">
      <c r="A21" s="372"/>
      <c r="B21" s="373"/>
      <c r="C21" s="374"/>
      <c r="D21" s="374"/>
      <c r="E21" s="375"/>
      <c r="F21" s="389">
        <f t="shared" si="0"/>
        <v>0</v>
      </c>
      <c r="G21" s="377" t="s">
        <v>434</v>
      </c>
      <c r="H21" s="378">
        <v>293520</v>
      </c>
      <c r="I21" s="379"/>
    </row>
    <row r="22" spans="1:8" ht="23.25" customHeight="1">
      <c r="A22" s="372"/>
      <c r="B22" s="373" t="s">
        <v>435</v>
      </c>
      <c r="C22" s="374">
        <v>396123.36</v>
      </c>
      <c r="D22" s="375"/>
      <c r="E22" s="375"/>
      <c r="F22" s="389">
        <f t="shared" si="0"/>
        <v>396123.36</v>
      </c>
      <c r="G22" s="377"/>
      <c r="H22" s="378"/>
    </row>
    <row r="23" spans="1:8" ht="23.25" customHeight="1">
      <c r="A23" s="372"/>
      <c r="B23" s="373" t="s">
        <v>456</v>
      </c>
      <c r="C23" s="374">
        <v>71000</v>
      </c>
      <c r="D23" s="374">
        <v>29500</v>
      </c>
      <c r="E23" s="375"/>
      <c r="F23" s="389">
        <f t="shared" si="0"/>
        <v>100500</v>
      </c>
      <c r="G23" s="377" t="s">
        <v>30</v>
      </c>
      <c r="H23" s="378">
        <v>29500</v>
      </c>
    </row>
    <row r="24" spans="1:8" ht="23.25" customHeight="1">
      <c r="A24" s="372"/>
      <c r="B24" s="373" t="s">
        <v>436</v>
      </c>
      <c r="C24" s="374">
        <v>87000</v>
      </c>
      <c r="D24" s="374">
        <v>80000</v>
      </c>
      <c r="E24" s="375"/>
      <c r="F24" s="389">
        <f t="shared" si="0"/>
        <v>167000</v>
      </c>
      <c r="G24" s="377" t="s">
        <v>431</v>
      </c>
      <c r="H24" s="378">
        <v>80000</v>
      </c>
    </row>
    <row r="25" spans="1:8" ht="23.25" customHeight="1">
      <c r="A25" s="372"/>
      <c r="B25" s="373" t="s">
        <v>437</v>
      </c>
      <c r="C25" s="374">
        <v>112000</v>
      </c>
      <c r="D25" s="375"/>
      <c r="E25" s="375"/>
      <c r="F25" s="389">
        <f t="shared" si="0"/>
        <v>112000</v>
      </c>
      <c r="G25" s="377"/>
      <c r="H25" s="378"/>
    </row>
    <row r="26" spans="1:8" ht="23.25" customHeight="1">
      <c r="A26" s="372"/>
      <c r="B26" s="373" t="s">
        <v>457</v>
      </c>
      <c r="C26" s="374">
        <v>574872</v>
      </c>
      <c r="D26" s="374">
        <f>154644+309288</f>
        <v>463932</v>
      </c>
      <c r="E26" s="375"/>
      <c r="F26" s="389">
        <f t="shared" si="0"/>
        <v>1038804</v>
      </c>
      <c r="G26" s="377" t="s">
        <v>30</v>
      </c>
      <c r="H26" s="378">
        <f>154644*3+463932</f>
        <v>927864</v>
      </c>
    </row>
    <row r="27" spans="1:8" ht="23.25" customHeight="1">
      <c r="A27" s="372"/>
      <c r="B27" s="373" t="s">
        <v>438</v>
      </c>
      <c r="C27" s="374">
        <v>4611300</v>
      </c>
      <c r="D27" s="374">
        <v>206925</v>
      </c>
      <c r="E27" s="375"/>
      <c r="F27" s="389">
        <f t="shared" si="0"/>
        <v>4818225</v>
      </c>
      <c r="G27" s="377" t="s">
        <v>434</v>
      </c>
      <c r="H27" s="378">
        <f>476000+513500+206925</f>
        <v>1196425</v>
      </c>
    </row>
    <row r="28" spans="1:9" ht="23.25" customHeight="1">
      <c r="A28" s="372"/>
      <c r="B28" s="373"/>
      <c r="C28" s="374"/>
      <c r="D28" s="375"/>
      <c r="E28" s="375"/>
      <c r="F28" s="389">
        <f t="shared" si="0"/>
        <v>0</v>
      </c>
      <c r="G28" s="377" t="s">
        <v>424</v>
      </c>
      <c r="H28" s="378">
        <f>636000+251500</f>
        <v>887500</v>
      </c>
      <c r="I28" s="379"/>
    </row>
    <row r="29" spans="1:8" ht="23.25" customHeight="1">
      <c r="A29" s="372"/>
      <c r="B29" s="373"/>
      <c r="C29" s="374"/>
      <c r="D29" s="375"/>
      <c r="E29" s="375"/>
      <c r="F29" s="389">
        <f t="shared" si="0"/>
        <v>0</v>
      </c>
      <c r="G29" s="377"/>
      <c r="H29" s="378"/>
    </row>
    <row r="30" spans="1:8" ht="23.25" customHeight="1">
      <c r="A30" s="372"/>
      <c r="B30" s="373"/>
      <c r="C30" s="374"/>
      <c r="D30" s="375"/>
      <c r="E30" s="375"/>
      <c r="F30" s="389"/>
      <c r="G30" s="377"/>
      <c r="H30" s="378"/>
    </row>
    <row r="31" spans="1:8" ht="23.25" customHeight="1">
      <c r="A31" s="372"/>
      <c r="B31" s="373"/>
      <c r="C31" s="374"/>
      <c r="D31" s="375"/>
      <c r="E31" s="375"/>
      <c r="F31" s="389"/>
      <c r="G31" s="377"/>
      <c r="H31" s="378"/>
    </row>
    <row r="32" spans="1:8" ht="23.25" customHeight="1">
      <c r="A32" s="380"/>
      <c r="B32" s="381"/>
      <c r="C32" s="382"/>
      <c r="D32" s="416"/>
      <c r="E32" s="416"/>
      <c r="F32" s="383"/>
      <c r="G32" s="384"/>
      <c r="H32" s="385"/>
    </row>
    <row r="33" spans="1:8" s="371" customFormat="1" ht="23.25" customHeight="1">
      <c r="A33" s="409" t="s">
        <v>439</v>
      </c>
      <c r="B33" s="410" t="s">
        <v>440</v>
      </c>
      <c r="C33" s="411"/>
      <c r="D33" s="412"/>
      <c r="E33" s="412"/>
      <c r="F33" s="389">
        <f t="shared" si="0"/>
        <v>0</v>
      </c>
      <c r="G33" s="413"/>
      <c r="H33" s="414"/>
    </row>
    <row r="34" spans="1:8" ht="23.25" customHeight="1">
      <c r="A34" s="372"/>
      <c r="B34" s="373" t="s">
        <v>441</v>
      </c>
      <c r="C34" s="374">
        <v>861762</v>
      </c>
      <c r="D34" s="374">
        <f>8691.59+2500+4018.69+32190+18000+2500+41700+16500</f>
        <v>126100.28</v>
      </c>
      <c r="E34" s="374">
        <f>26000+1000+1500+95000+4000</f>
        <v>127500</v>
      </c>
      <c r="F34" s="389">
        <f t="shared" si="0"/>
        <v>860362.28</v>
      </c>
      <c r="G34" s="377" t="s">
        <v>431</v>
      </c>
      <c r="H34" s="378">
        <f>226084+67900.28</f>
        <v>293984.28</v>
      </c>
    </row>
    <row r="35" spans="1:8" ht="23.25" customHeight="1">
      <c r="A35" s="372"/>
      <c r="B35" s="373"/>
      <c r="C35" s="374"/>
      <c r="D35" s="374"/>
      <c r="E35" s="374"/>
      <c r="F35" s="389">
        <f t="shared" si="0"/>
        <v>0</v>
      </c>
      <c r="G35" s="377" t="s">
        <v>462</v>
      </c>
      <c r="H35" s="378">
        <f>41700+16500</f>
        <v>58200</v>
      </c>
    </row>
    <row r="36" spans="1:8" ht="23.25" customHeight="1">
      <c r="A36" s="372"/>
      <c r="B36" s="373" t="s">
        <v>465</v>
      </c>
      <c r="C36" s="374">
        <v>12500</v>
      </c>
      <c r="D36" s="374">
        <v>26500</v>
      </c>
      <c r="E36" s="375"/>
      <c r="F36" s="389">
        <f t="shared" si="0"/>
        <v>39000</v>
      </c>
      <c r="G36" s="377" t="s">
        <v>431</v>
      </c>
      <c r="H36" s="378">
        <v>26500</v>
      </c>
    </row>
    <row r="37" spans="1:8" ht="23.25" customHeight="1">
      <c r="A37" s="372"/>
      <c r="B37" s="373" t="s">
        <v>442</v>
      </c>
      <c r="C37" s="374">
        <v>38425</v>
      </c>
      <c r="D37" s="374">
        <v>669000</v>
      </c>
      <c r="E37" s="375"/>
      <c r="F37" s="389">
        <f t="shared" si="0"/>
        <v>707425</v>
      </c>
      <c r="G37" s="377" t="s">
        <v>431</v>
      </c>
      <c r="H37" s="378">
        <f>3425+669000</f>
        <v>672425</v>
      </c>
    </row>
    <row r="38" spans="1:8" ht="23.25" customHeight="1">
      <c r="A38" s="372"/>
      <c r="B38" s="373" t="s">
        <v>443</v>
      </c>
      <c r="C38" s="374">
        <v>224037.38</v>
      </c>
      <c r="D38" s="374"/>
      <c r="E38" s="375"/>
      <c r="F38" s="389">
        <f t="shared" si="0"/>
        <v>224037.38</v>
      </c>
      <c r="G38" s="377" t="s">
        <v>431</v>
      </c>
      <c r="H38" s="378">
        <v>3000</v>
      </c>
    </row>
    <row r="39" spans="1:8" ht="23.25" customHeight="1">
      <c r="A39" s="372"/>
      <c r="B39" s="373" t="s">
        <v>444</v>
      </c>
      <c r="C39" s="374">
        <v>255037.47</v>
      </c>
      <c r="D39" s="374">
        <v>36950</v>
      </c>
      <c r="E39" s="375"/>
      <c r="F39" s="389">
        <f t="shared" si="0"/>
        <v>291987.47</v>
      </c>
      <c r="G39" s="377" t="s">
        <v>431</v>
      </c>
      <c r="H39" s="378">
        <v>36950</v>
      </c>
    </row>
    <row r="40" spans="1:8" ht="23.25" customHeight="1">
      <c r="A40" s="372"/>
      <c r="B40" s="373" t="s">
        <v>445</v>
      </c>
      <c r="C40" s="374">
        <v>0</v>
      </c>
      <c r="D40" s="374">
        <f>12885+22162.4+29794</f>
        <v>64841.4</v>
      </c>
      <c r="E40" s="376">
        <v>64841.4</v>
      </c>
      <c r="F40" s="376">
        <f t="shared" si="0"/>
        <v>0</v>
      </c>
      <c r="G40" s="377" t="s">
        <v>431</v>
      </c>
      <c r="H40" s="378">
        <v>82099</v>
      </c>
    </row>
    <row r="41" spans="1:8" ht="23.25" customHeight="1">
      <c r="A41" s="386"/>
      <c r="B41" s="387" t="s">
        <v>446</v>
      </c>
      <c r="C41" s="388">
        <v>0</v>
      </c>
      <c r="D41" s="388">
        <v>6080</v>
      </c>
      <c r="E41" s="389">
        <v>6080</v>
      </c>
      <c r="F41" s="389">
        <f t="shared" si="0"/>
        <v>0</v>
      </c>
      <c r="G41" s="390" t="s">
        <v>431</v>
      </c>
      <c r="H41" s="391">
        <v>3766</v>
      </c>
    </row>
    <row r="42" spans="1:8" ht="23.25" customHeight="1">
      <c r="A42" s="372"/>
      <c r="B42" s="373" t="s">
        <v>447</v>
      </c>
      <c r="C42" s="374">
        <v>0</v>
      </c>
      <c r="D42" s="374">
        <v>2000</v>
      </c>
      <c r="E42" s="375">
        <v>2000</v>
      </c>
      <c r="F42" s="389">
        <f t="shared" si="0"/>
        <v>0</v>
      </c>
      <c r="G42" s="377"/>
      <c r="H42" s="378"/>
    </row>
    <row r="43" spans="1:8" ht="23.25" customHeight="1">
      <c r="A43" s="372"/>
      <c r="B43" s="373" t="s">
        <v>448</v>
      </c>
      <c r="C43" s="374">
        <v>0</v>
      </c>
      <c r="D43" s="374">
        <f>9243+17060</f>
        <v>26303</v>
      </c>
      <c r="E43" s="376">
        <v>26303</v>
      </c>
      <c r="F43" s="389">
        <f t="shared" si="0"/>
        <v>0</v>
      </c>
      <c r="G43" s="377" t="s">
        <v>431</v>
      </c>
      <c r="H43" s="378">
        <v>16860</v>
      </c>
    </row>
    <row r="44" spans="1:8" ht="23.25" customHeight="1">
      <c r="A44" s="372"/>
      <c r="B44" s="373" t="s">
        <v>449</v>
      </c>
      <c r="C44" s="374">
        <v>0</v>
      </c>
      <c r="D44" s="374"/>
      <c r="E44" s="376"/>
      <c r="F44" s="389">
        <f t="shared" si="0"/>
        <v>0</v>
      </c>
      <c r="G44" s="377" t="s">
        <v>431</v>
      </c>
      <c r="H44" s="378">
        <v>120935</v>
      </c>
    </row>
    <row r="45" spans="1:8" ht="23.25" customHeight="1">
      <c r="A45" s="392"/>
      <c r="B45" s="393" t="s">
        <v>458</v>
      </c>
      <c r="C45" s="394">
        <v>0</v>
      </c>
      <c r="D45" s="394">
        <v>17000</v>
      </c>
      <c r="E45" s="408">
        <v>17000</v>
      </c>
      <c r="F45" s="389">
        <f t="shared" si="0"/>
        <v>0</v>
      </c>
      <c r="G45" s="396"/>
      <c r="H45" s="397"/>
    </row>
    <row r="46" spans="1:8" ht="23.25" customHeight="1">
      <c r="A46" s="392"/>
      <c r="B46" s="393" t="s">
        <v>459</v>
      </c>
      <c r="C46" s="394">
        <v>0</v>
      </c>
      <c r="D46" s="394">
        <v>51544</v>
      </c>
      <c r="E46" s="408">
        <v>51544</v>
      </c>
      <c r="F46" s="389">
        <f t="shared" si="0"/>
        <v>0</v>
      </c>
      <c r="G46" s="396"/>
      <c r="H46" s="397"/>
    </row>
    <row r="47" spans="1:8" ht="23.25" customHeight="1">
      <c r="A47" s="392"/>
      <c r="B47" s="393" t="s">
        <v>463</v>
      </c>
      <c r="C47" s="394">
        <v>0</v>
      </c>
      <c r="D47" s="394">
        <f>298860+19110+18525</f>
        <v>336495</v>
      </c>
      <c r="E47" s="408">
        <v>336495</v>
      </c>
      <c r="F47" s="389">
        <f t="shared" si="0"/>
        <v>0</v>
      </c>
      <c r="G47" s="396" t="s">
        <v>424</v>
      </c>
      <c r="H47" s="397">
        <v>336495</v>
      </c>
    </row>
    <row r="48" spans="1:8" ht="23.25" customHeight="1">
      <c r="A48" s="392"/>
      <c r="B48" s="393"/>
      <c r="C48" s="394"/>
      <c r="D48" s="394"/>
      <c r="E48" s="408"/>
      <c r="F48" s="389"/>
      <c r="G48" s="396" t="s">
        <v>464</v>
      </c>
      <c r="H48" s="397"/>
    </row>
    <row r="49" spans="1:8" ht="23.25" customHeight="1">
      <c r="A49" s="392"/>
      <c r="B49" s="393" t="s">
        <v>460</v>
      </c>
      <c r="C49" s="394">
        <v>0</v>
      </c>
      <c r="D49" s="394">
        <v>4530</v>
      </c>
      <c r="E49" s="408">
        <v>4530</v>
      </c>
      <c r="F49" s="389">
        <f t="shared" si="0"/>
        <v>0</v>
      </c>
      <c r="G49" s="396"/>
      <c r="H49" s="397"/>
    </row>
    <row r="50" spans="1:8" ht="23.25" customHeight="1">
      <c r="A50" s="392"/>
      <c r="B50" s="393"/>
      <c r="C50" s="394"/>
      <c r="D50" s="395"/>
      <c r="E50" s="395"/>
      <c r="F50" s="395"/>
      <c r="G50" s="396"/>
      <c r="H50" s="397"/>
    </row>
    <row r="51" spans="1:8" s="371" customFormat="1" ht="23.25" customHeight="1">
      <c r="A51" s="441" t="s">
        <v>95</v>
      </c>
      <c r="B51" s="442"/>
      <c r="C51" s="398">
        <f>SUM(C6:C50)</f>
        <v>23047369.709999997</v>
      </c>
      <c r="D51" s="398">
        <f>SUM(D6:D50)</f>
        <v>4757955.68</v>
      </c>
      <c r="E51" s="398">
        <f>SUM(E6:E50)</f>
        <v>636293.4</v>
      </c>
      <c r="F51" s="398">
        <f>SUM(F6:F50)</f>
        <v>27169031.99</v>
      </c>
      <c r="G51" s="399"/>
      <c r="H51" s="398">
        <f>SUM(H6:H50)</f>
        <v>9612946.280000001</v>
      </c>
    </row>
    <row r="52" ht="23.25" customHeight="1">
      <c r="C52" s="401"/>
    </row>
    <row r="53" spans="3:5" ht="23.25" customHeight="1">
      <c r="C53" s="404"/>
      <c r="E53" s="417"/>
    </row>
    <row r="54" spans="3:5" ht="23.25" customHeight="1">
      <c r="C54" s="404"/>
      <c r="E54" s="417"/>
    </row>
    <row r="55" spans="2:8" s="405" customFormat="1" ht="23.25" customHeight="1">
      <c r="B55" s="405" t="s">
        <v>450</v>
      </c>
      <c r="E55" s="405" t="s">
        <v>380</v>
      </c>
      <c r="G55" s="405" t="s">
        <v>451</v>
      </c>
      <c r="H55" s="406"/>
    </row>
    <row r="56" spans="2:8" s="405" customFormat="1" ht="23.25" customHeight="1">
      <c r="B56" s="405" t="s">
        <v>345</v>
      </c>
      <c r="E56" s="405" t="s">
        <v>452</v>
      </c>
      <c r="G56" s="405" t="s">
        <v>453</v>
      </c>
      <c r="H56" s="406"/>
    </row>
  </sheetData>
  <mergeCells count="10">
    <mergeCell ref="A51:B51"/>
    <mergeCell ref="A1:H1"/>
    <mergeCell ref="A2:H2"/>
    <mergeCell ref="A3:H3"/>
    <mergeCell ref="A4:B5"/>
    <mergeCell ref="D4:D5"/>
    <mergeCell ref="E4:E5"/>
    <mergeCell ref="F4:F5"/>
    <mergeCell ref="G4:G5"/>
    <mergeCell ref="H4:H5"/>
  </mergeCells>
  <printOptions/>
  <pageMargins left="0.75" right="0.23" top="1" bottom="1" header="0.5" footer="0.5"/>
  <pageSetup horizontalDpi="600" verticalDpi="600" orientation="portrait" paperSize="9" r:id="rId1"/>
  <headerFooter alignWithMargins="0">
    <oddFooter>&amp;Cหน้าที่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8">
      <selection activeCell="A1" sqref="A1:G16"/>
    </sheetView>
  </sheetViews>
  <sheetFormatPr defaultColWidth="9.140625" defaultRowHeight="21.75"/>
  <cols>
    <col min="1" max="1" width="19.140625" style="349" customWidth="1"/>
    <col min="2" max="5" width="20.140625" style="349" customWidth="1"/>
    <col min="6" max="6" width="23.140625" style="349" customWidth="1"/>
    <col min="7" max="7" width="20.57421875" style="349" customWidth="1"/>
    <col min="8" max="16384" width="9.140625" style="349" customWidth="1"/>
  </cols>
  <sheetData>
    <row r="1" spans="1:7" ht="23.25">
      <c r="A1" s="451" t="s">
        <v>404</v>
      </c>
      <c r="B1" s="451"/>
      <c r="C1" s="451"/>
      <c r="D1" s="451"/>
      <c r="E1" s="451"/>
      <c r="F1" s="451"/>
      <c r="G1" s="451"/>
    </row>
    <row r="2" spans="1:7" ht="21.75">
      <c r="A2" s="452" t="s">
        <v>389</v>
      </c>
      <c r="B2" s="452"/>
      <c r="C2" s="452"/>
      <c r="D2" s="452"/>
      <c r="E2" s="452"/>
      <c r="F2" s="452"/>
      <c r="G2" s="452"/>
    </row>
    <row r="4" spans="1:7" ht="21.75">
      <c r="A4" s="448" t="s">
        <v>406</v>
      </c>
      <c r="B4" s="449"/>
      <c r="C4" s="449"/>
      <c r="D4" s="449"/>
      <c r="E4" s="450"/>
      <c r="F4" s="350" t="s">
        <v>408</v>
      </c>
      <c r="G4" s="350" t="s">
        <v>409</v>
      </c>
    </row>
    <row r="5" spans="1:7" ht="21.75">
      <c r="A5" s="350" t="s">
        <v>405</v>
      </c>
      <c r="B5" s="350" t="s">
        <v>390</v>
      </c>
      <c r="C5" s="350" t="s">
        <v>391</v>
      </c>
      <c r="D5" s="350" t="s">
        <v>392</v>
      </c>
      <c r="E5" s="350" t="s">
        <v>407</v>
      </c>
      <c r="F5" s="351" t="s">
        <v>107</v>
      </c>
      <c r="G5" s="351" t="s">
        <v>107</v>
      </c>
    </row>
    <row r="6" spans="1:7" ht="21.75">
      <c r="A6" s="352" t="s">
        <v>393</v>
      </c>
      <c r="B6" s="352" t="s">
        <v>394</v>
      </c>
      <c r="C6" s="352" t="s">
        <v>395</v>
      </c>
      <c r="D6" s="352" t="s">
        <v>396</v>
      </c>
      <c r="E6" s="352" t="s">
        <v>397</v>
      </c>
      <c r="F6" s="352" t="s">
        <v>398</v>
      </c>
      <c r="G6" s="352" t="s">
        <v>399</v>
      </c>
    </row>
    <row r="7" spans="1:7" ht="21.75">
      <c r="A7" s="353"/>
      <c r="B7" s="353"/>
      <c r="C7" s="353"/>
      <c r="D7" s="353"/>
      <c r="E7" s="353"/>
      <c r="F7" s="353"/>
      <c r="G7" s="353"/>
    </row>
    <row r="8" spans="1:7" s="355" customFormat="1" ht="21.75">
      <c r="A8" s="354">
        <v>11132430</v>
      </c>
      <c r="B8" s="354">
        <v>0</v>
      </c>
      <c r="C8" s="354">
        <v>0</v>
      </c>
      <c r="D8" s="354">
        <v>0</v>
      </c>
      <c r="E8" s="354">
        <f>SUM(A8:D8)</f>
        <v>11132430</v>
      </c>
      <c r="F8" s="354">
        <v>11962010.05</v>
      </c>
      <c r="G8" s="354">
        <f>+F8-E8</f>
        <v>829580.0500000007</v>
      </c>
    </row>
    <row r="9" spans="1:7" ht="21.75">
      <c r="A9" s="356"/>
      <c r="B9" s="356"/>
      <c r="C9" s="356"/>
      <c r="D9" s="356"/>
      <c r="E9" s="356"/>
      <c r="F9" s="356"/>
      <c r="G9" s="356"/>
    </row>
    <row r="10" spans="1:7" ht="21.75">
      <c r="A10" s="357"/>
      <c r="B10" s="357"/>
      <c r="C10" s="357"/>
      <c r="D10" s="357"/>
      <c r="E10" s="357"/>
      <c r="F10" s="357"/>
      <c r="G10" s="357"/>
    </row>
    <row r="11" spans="1:7" ht="21.75">
      <c r="A11" s="358">
        <f>SUM(A8:A10)</f>
        <v>11132430</v>
      </c>
      <c r="B11" s="358">
        <f aca="true" t="shared" si="0" ref="B11:G11">SUM(B8:B10)</f>
        <v>0</v>
      </c>
      <c r="C11" s="358">
        <f t="shared" si="0"/>
        <v>0</v>
      </c>
      <c r="D11" s="358">
        <f t="shared" si="0"/>
        <v>0</v>
      </c>
      <c r="E11" s="358">
        <f t="shared" si="0"/>
        <v>11132430</v>
      </c>
      <c r="F11" s="358">
        <f t="shared" si="0"/>
        <v>11962010.05</v>
      </c>
      <c r="G11" s="358">
        <f t="shared" si="0"/>
        <v>829580.0500000007</v>
      </c>
    </row>
    <row r="14" spans="1:7" s="359" customFormat="1" ht="24">
      <c r="A14" s="359" t="s">
        <v>400</v>
      </c>
      <c r="C14" s="360" t="s">
        <v>167</v>
      </c>
      <c r="D14" s="360" t="s">
        <v>400</v>
      </c>
      <c r="E14" s="360" t="s">
        <v>401</v>
      </c>
      <c r="F14" s="360" t="s">
        <v>400</v>
      </c>
      <c r="G14" s="360" t="s">
        <v>410</v>
      </c>
    </row>
    <row r="15" spans="1:7" s="359" customFormat="1" ht="24">
      <c r="A15" s="360" t="s">
        <v>454</v>
      </c>
      <c r="D15" s="360" t="s">
        <v>402</v>
      </c>
      <c r="E15" s="360"/>
      <c r="F15" s="360" t="s">
        <v>411</v>
      </c>
      <c r="G15" s="360"/>
    </row>
    <row r="16" spans="1:6" s="359" customFormat="1" ht="24">
      <c r="A16" s="360" t="s">
        <v>455</v>
      </c>
      <c r="D16" s="360" t="s">
        <v>403</v>
      </c>
      <c r="F16" s="360" t="s">
        <v>412</v>
      </c>
    </row>
  </sheetData>
  <mergeCells count="3">
    <mergeCell ref="A4:E4"/>
    <mergeCell ref="A1:G1"/>
    <mergeCell ref="A2:G2"/>
  </mergeCells>
  <printOptions/>
  <pageMargins left="0.7480314960629921" right="0.19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2">
      <selection activeCell="A18" sqref="A18:IV18"/>
    </sheetView>
  </sheetViews>
  <sheetFormatPr defaultColWidth="9.140625" defaultRowHeight="21.75"/>
  <cols>
    <col min="1" max="1" width="51.28125" style="95" customWidth="1"/>
    <col min="2" max="2" width="9.7109375" style="175" customWidth="1"/>
    <col min="3" max="4" width="16.421875" style="95" customWidth="1"/>
    <col min="5" max="5" width="13.57421875" style="95" bestFit="1" customWidth="1"/>
    <col min="6" max="16384" width="9.140625" style="95" customWidth="1"/>
  </cols>
  <sheetData>
    <row r="1" spans="1:4" s="161" customFormat="1" ht="21">
      <c r="A1" s="453" t="s">
        <v>0</v>
      </c>
      <c r="B1" s="453"/>
      <c r="C1" s="453"/>
      <c r="D1" s="453"/>
    </row>
    <row r="2" spans="1:4" s="161" customFormat="1" ht="21">
      <c r="A2" s="453" t="s">
        <v>387</v>
      </c>
      <c r="B2" s="453"/>
      <c r="C2" s="453"/>
      <c r="D2" s="453"/>
    </row>
    <row r="3" spans="1:4" s="161" customFormat="1" ht="21">
      <c r="A3" s="453" t="s">
        <v>264</v>
      </c>
      <c r="B3" s="453"/>
      <c r="C3" s="453"/>
      <c r="D3" s="453"/>
    </row>
    <row r="4" s="161" customFormat="1" ht="2.25" customHeight="1">
      <c r="B4" s="160"/>
    </row>
    <row r="5" spans="1:4" s="162" customFormat="1" ht="21" customHeight="1">
      <c r="A5" s="91" t="s">
        <v>2</v>
      </c>
      <c r="B5" s="91" t="s">
        <v>3</v>
      </c>
      <c r="C5" s="91" t="s">
        <v>4</v>
      </c>
      <c r="D5" s="91" t="s">
        <v>5</v>
      </c>
    </row>
    <row r="6" spans="1:4" ht="19.5" customHeight="1">
      <c r="A6" s="92" t="s">
        <v>6</v>
      </c>
      <c r="B6" s="166" t="s">
        <v>191</v>
      </c>
      <c r="C6" s="81">
        <f>15321+10810.6-28181.6+2050</f>
        <v>0</v>
      </c>
      <c r="D6" s="81"/>
    </row>
    <row r="7" spans="1:4" ht="19.5" customHeight="1">
      <c r="A7" s="93" t="s">
        <v>7</v>
      </c>
      <c r="B7" s="167" t="s">
        <v>192</v>
      </c>
      <c r="C7" s="77">
        <f>995426.45-990934.7</f>
        <v>4491.75</v>
      </c>
      <c r="D7" s="77"/>
    </row>
    <row r="8" spans="1:4" ht="19.5" customHeight="1">
      <c r="A8" s="93" t="s">
        <v>8</v>
      </c>
      <c r="B8" s="167" t="s">
        <v>193</v>
      </c>
      <c r="C8" s="77">
        <v>9550960.13</v>
      </c>
      <c r="D8" s="77"/>
    </row>
    <row r="9" spans="1:4" ht="19.5" customHeight="1">
      <c r="A9" s="93" t="s">
        <v>9</v>
      </c>
      <c r="B9" s="167" t="s">
        <v>194</v>
      </c>
      <c r="C9" s="77">
        <f>293606.41+1098.91-32000+15808.02-40000+673.96</f>
        <v>239187.29999999996</v>
      </c>
      <c r="D9" s="77"/>
    </row>
    <row r="10" spans="1:4" ht="19.5" customHeight="1">
      <c r="A10" s="93" t="s">
        <v>10</v>
      </c>
      <c r="B10" s="166" t="s">
        <v>138</v>
      </c>
      <c r="C10" s="77">
        <f>89720-5140-50500-6220-36520-4330-33000+45990</f>
        <v>0</v>
      </c>
      <c r="D10" s="77"/>
    </row>
    <row r="11" spans="1:4" ht="19.5" customHeight="1">
      <c r="A11" s="93" t="s">
        <v>101</v>
      </c>
      <c r="B11" s="167">
        <v>704</v>
      </c>
      <c r="C11" s="77">
        <v>0</v>
      </c>
      <c r="D11" s="77"/>
    </row>
    <row r="12" spans="1:4" ht="19.5" customHeight="1">
      <c r="A12" s="93" t="s">
        <v>11</v>
      </c>
      <c r="B12" s="167"/>
      <c r="C12" s="77">
        <v>21833.3</v>
      </c>
      <c r="D12" s="77"/>
    </row>
    <row r="13" spans="1:4" ht="19.5" customHeight="1">
      <c r="A13" s="93" t="s">
        <v>270</v>
      </c>
      <c r="B13" s="167">
        <v>601</v>
      </c>
      <c r="C13" s="77"/>
      <c r="D13" s="77">
        <v>284326</v>
      </c>
    </row>
    <row r="14" spans="1:4" s="163" customFormat="1" ht="19.5" customHeight="1">
      <c r="A14" s="105" t="s">
        <v>26</v>
      </c>
      <c r="B14" s="286">
        <v>900</v>
      </c>
      <c r="D14" s="107">
        <f>2!E13</f>
        <v>629882.4600000001</v>
      </c>
    </row>
    <row r="15" spans="1:4" s="163" customFormat="1" ht="19.5" customHeight="1">
      <c r="A15" s="105" t="s">
        <v>24</v>
      </c>
      <c r="B15" s="170">
        <v>600</v>
      </c>
      <c r="C15" s="106"/>
      <c r="D15" s="212">
        <f>+3!F31</f>
        <v>3404260</v>
      </c>
    </row>
    <row r="16" spans="1:4" s="163" customFormat="1" ht="19.5" customHeight="1">
      <c r="A16" s="105" t="s">
        <v>23</v>
      </c>
      <c r="B16" s="170">
        <v>602</v>
      </c>
      <c r="C16" s="106"/>
      <c r="D16" s="212">
        <f>+4!F26</f>
        <v>446124.82</v>
      </c>
    </row>
    <row r="17" spans="1:4" ht="19.5" customHeight="1">
      <c r="A17" s="93" t="s">
        <v>27</v>
      </c>
      <c r="B17" s="171">
        <v>703</v>
      </c>
      <c r="C17" s="77"/>
      <c r="D17" s="68">
        <f>2417811.11+232924.47</f>
        <v>2650735.58</v>
      </c>
    </row>
    <row r="18" spans="1:5" ht="19.5" customHeight="1">
      <c r="A18" s="93" t="s">
        <v>28</v>
      </c>
      <c r="B18" s="171"/>
      <c r="C18" s="77"/>
      <c r="D18" s="77">
        <v>829580.05</v>
      </c>
      <c r="E18" s="98"/>
    </row>
    <row r="19" spans="1:4" s="164" customFormat="1" ht="19.5" customHeight="1">
      <c r="A19" s="103" t="s">
        <v>388</v>
      </c>
      <c r="B19" s="172"/>
      <c r="C19" s="104"/>
      <c r="D19" s="104">
        <f>+5!M78</f>
        <v>0</v>
      </c>
    </row>
    <row r="20" spans="1:4" ht="19.5" customHeight="1">
      <c r="A20" s="94" t="s">
        <v>30</v>
      </c>
      <c r="B20" s="174">
        <v>700</v>
      </c>
      <c r="C20" s="80"/>
      <c r="D20" s="99">
        <v>1571563.57</v>
      </c>
    </row>
    <row r="21" spans="3:4" ht="19.5" customHeight="1" thickBot="1">
      <c r="C21" s="96">
        <f>SUM(C6:C20)</f>
        <v>9816472.480000002</v>
      </c>
      <c r="D21" s="97">
        <f>SUM(D6:D20)</f>
        <v>9816472.48</v>
      </c>
    </row>
    <row r="22" ht="21" customHeight="1" thickTop="1">
      <c r="D22" s="98">
        <f>C21-D21</f>
        <v>0</v>
      </c>
    </row>
    <row r="23" spans="1:4" ht="19.5" customHeight="1">
      <c r="A23" s="161" t="s">
        <v>190</v>
      </c>
      <c r="B23" s="160"/>
      <c r="C23" s="159"/>
      <c r="D23" s="187"/>
    </row>
    <row r="24" spans="1:4" ht="19.5" customHeight="1">
      <c r="A24" s="95" t="s">
        <v>299</v>
      </c>
      <c r="B24" s="160"/>
      <c r="D24" s="188"/>
    </row>
    <row r="25" spans="1:4" ht="19.5" customHeight="1">
      <c r="A25" s="95" t="s">
        <v>300</v>
      </c>
      <c r="B25" s="160"/>
      <c r="D25" s="98"/>
    </row>
    <row r="26" spans="1:4" ht="19.5" customHeight="1">
      <c r="A26" s="209" t="s">
        <v>184</v>
      </c>
      <c r="B26" s="160"/>
      <c r="D26" s="98"/>
    </row>
    <row r="27" spans="1:4" ht="19.5" customHeight="1">
      <c r="A27" s="95" t="s">
        <v>185</v>
      </c>
      <c r="B27" s="160"/>
      <c r="D27" s="98"/>
    </row>
    <row r="28" spans="1:3" s="161" customFormat="1" ht="19.5" customHeight="1">
      <c r="A28" s="161" t="s">
        <v>186</v>
      </c>
      <c r="B28" s="160"/>
      <c r="C28" s="161" t="s">
        <v>187</v>
      </c>
    </row>
    <row r="29" spans="1:4" ht="19.5" customHeight="1">
      <c r="A29" s="95" t="s">
        <v>241</v>
      </c>
      <c r="B29" s="160"/>
      <c r="D29" s="95" t="s">
        <v>142</v>
      </c>
    </row>
    <row r="30" spans="1:4" ht="19.5" customHeight="1">
      <c r="A30" s="214" t="s">
        <v>242</v>
      </c>
      <c r="B30" s="214"/>
      <c r="C30" s="214"/>
      <c r="D30" s="95" t="s">
        <v>143</v>
      </c>
    </row>
    <row r="31" ht="19.5" customHeight="1">
      <c r="B31" s="215"/>
    </row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8"/>
  <sheetViews>
    <sheetView workbookViewId="0" topLeftCell="A22">
      <selection activeCell="D34" sqref="D34"/>
    </sheetView>
  </sheetViews>
  <sheetFormatPr defaultColWidth="9.140625" defaultRowHeight="21.75"/>
  <cols>
    <col min="1" max="1" width="51.28125" style="95" customWidth="1"/>
    <col min="2" max="2" width="9.7109375" style="175" customWidth="1"/>
    <col min="3" max="3" width="18.28125" style="95" customWidth="1"/>
    <col min="4" max="4" width="18.421875" style="95" customWidth="1"/>
    <col min="5" max="5" width="13.57421875" style="95" bestFit="1" customWidth="1"/>
    <col min="6" max="16384" width="9.140625" style="95" customWidth="1"/>
  </cols>
  <sheetData>
    <row r="1" spans="1:4" s="161" customFormat="1" ht="21">
      <c r="A1" s="453" t="s">
        <v>0</v>
      </c>
      <c r="B1" s="453"/>
      <c r="C1" s="453"/>
      <c r="D1" s="453"/>
    </row>
    <row r="2" spans="1:4" s="161" customFormat="1" ht="21">
      <c r="A2" s="453" t="s">
        <v>1</v>
      </c>
      <c r="B2" s="453"/>
      <c r="C2" s="453"/>
      <c r="D2" s="453"/>
    </row>
    <row r="3" spans="1:4" s="161" customFormat="1" ht="21">
      <c r="A3" s="453" t="s">
        <v>264</v>
      </c>
      <c r="B3" s="453"/>
      <c r="C3" s="453"/>
      <c r="D3" s="453"/>
    </row>
    <row r="4" s="161" customFormat="1" ht="2.25" customHeight="1">
      <c r="B4" s="160"/>
    </row>
    <row r="5" spans="1:4" s="162" customFormat="1" ht="21" customHeight="1">
      <c r="A5" s="91" t="s">
        <v>2</v>
      </c>
      <c r="B5" s="91" t="s">
        <v>3</v>
      </c>
      <c r="C5" s="91" t="s">
        <v>4</v>
      </c>
      <c r="D5" s="91" t="s">
        <v>5</v>
      </c>
    </row>
    <row r="6" spans="1:4" ht="19.5" customHeight="1">
      <c r="A6" s="92" t="s">
        <v>6</v>
      </c>
      <c r="B6" s="166" t="s">
        <v>191</v>
      </c>
      <c r="C6" s="81">
        <f>15321+10810.6-28181.6+2050</f>
        <v>0</v>
      </c>
      <c r="D6" s="81"/>
    </row>
    <row r="7" spans="1:4" ht="19.5" customHeight="1">
      <c r="A7" s="93" t="s">
        <v>7</v>
      </c>
      <c r="B7" s="167" t="s">
        <v>192</v>
      </c>
      <c r="C7" s="77">
        <f>995426.45-990934.7</f>
        <v>4491.75</v>
      </c>
      <c r="D7" s="77"/>
    </row>
    <row r="8" spans="1:4" ht="19.5" customHeight="1">
      <c r="A8" s="93" t="s">
        <v>8</v>
      </c>
      <c r="B8" s="167" t="s">
        <v>193</v>
      </c>
      <c r="C8" s="77">
        <v>9550960.13</v>
      </c>
      <c r="D8" s="77"/>
    </row>
    <row r="9" spans="1:4" ht="19.5" customHeight="1">
      <c r="A9" s="93" t="s">
        <v>9</v>
      </c>
      <c r="B9" s="167" t="s">
        <v>194</v>
      </c>
      <c r="C9" s="77">
        <f>293606.41+1098.91-32000+15808.02-40000+673.96</f>
        <v>239187.29999999996</v>
      </c>
      <c r="D9" s="77"/>
    </row>
    <row r="10" spans="1:4" ht="19.5" customHeight="1">
      <c r="A10" s="93" t="s">
        <v>10</v>
      </c>
      <c r="B10" s="166" t="s">
        <v>138</v>
      </c>
      <c r="C10" s="77">
        <f>89720-5140-50500-6220-36520-4330-33000+45990</f>
        <v>0</v>
      </c>
      <c r="D10" s="77"/>
    </row>
    <row r="11" spans="1:4" ht="19.5" customHeight="1">
      <c r="A11" s="93" t="s">
        <v>101</v>
      </c>
      <c r="B11" s="167">
        <v>704</v>
      </c>
      <c r="C11" s="77">
        <v>0</v>
      </c>
      <c r="D11" s="77"/>
    </row>
    <row r="12" spans="1:4" ht="19.5" customHeight="1">
      <c r="A12" s="93" t="s">
        <v>11</v>
      </c>
      <c r="B12" s="167"/>
      <c r="C12" s="77">
        <v>42408.95</v>
      </c>
      <c r="D12" s="77"/>
    </row>
    <row r="13" spans="1:4" ht="19.5" customHeight="1">
      <c r="A13" s="93" t="s">
        <v>22</v>
      </c>
      <c r="B13" s="166" t="s">
        <v>141</v>
      </c>
      <c r="C13" s="77">
        <f>680665.84+1472+33000+75000</f>
        <v>790137.84</v>
      </c>
      <c r="D13" s="77"/>
    </row>
    <row r="14" spans="1:4" ht="19.5" customHeight="1">
      <c r="A14" s="93" t="s">
        <v>12</v>
      </c>
      <c r="B14" s="167">
        <v>100</v>
      </c>
      <c r="C14" s="77">
        <f>1341841.35+122050+284326</f>
        <v>1748217.35</v>
      </c>
      <c r="D14" s="77"/>
    </row>
    <row r="15" spans="1:4" ht="19.5" customHeight="1">
      <c r="A15" s="93" t="s">
        <v>13</v>
      </c>
      <c r="B15" s="167">
        <v>120</v>
      </c>
      <c r="C15" s="77">
        <f>185860+20590</f>
        <v>206450</v>
      </c>
      <c r="D15" s="77"/>
    </row>
    <row r="16" spans="1:4" ht="19.5" customHeight="1">
      <c r="A16" s="93" t="s">
        <v>14</v>
      </c>
      <c r="B16" s="167">
        <v>130</v>
      </c>
      <c r="C16" s="77">
        <f>34160+0</f>
        <v>34160</v>
      </c>
      <c r="D16" s="77"/>
    </row>
    <row r="17" spans="1:4" ht="19.5" customHeight="1">
      <c r="A17" s="93" t="s">
        <v>15</v>
      </c>
      <c r="B17" s="167">
        <v>200</v>
      </c>
      <c r="C17" s="77">
        <f>978103.5+114008</f>
        <v>1092111.5</v>
      </c>
      <c r="D17" s="77"/>
    </row>
    <row r="18" spans="1:4" ht="19.5" customHeight="1">
      <c r="A18" s="93" t="s">
        <v>16</v>
      </c>
      <c r="B18" s="167">
        <v>250</v>
      </c>
      <c r="C18" s="77">
        <f>515918.38+118065+50500+6220+36520+4330+98360</f>
        <v>829913.38</v>
      </c>
      <c r="D18" s="77"/>
    </row>
    <row r="19" spans="1:4" ht="19.5" customHeight="1">
      <c r="A19" s="93" t="s">
        <v>17</v>
      </c>
      <c r="B19" s="167">
        <v>270</v>
      </c>
      <c r="C19" s="77">
        <f>169271.64-1746.24+4773</f>
        <v>172298.40000000002</v>
      </c>
      <c r="D19" s="77"/>
    </row>
    <row r="20" spans="1:4" ht="19.5" customHeight="1">
      <c r="A20" s="93" t="s">
        <v>18</v>
      </c>
      <c r="B20" s="167">
        <v>300</v>
      </c>
      <c r="C20" s="77">
        <f>57766.03+1746.24+9054.49</f>
        <v>68566.76</v>
      </c>
      <c r="D20" s="77"/>
    </row>
    <row r="21" spans="1:4" ht="19.5" customHeight="1">
      <c r="A21" s="93" t="s">
        <v>19</v>
      </c>
      <c r="B21" s="167">
        <v>400</v>
      </c>
      <c r="C21" s="77">
        <f>227264+20000</f>
        <v>247264</v>
      </c>
      <c r="D21" s="77"/>
    </row>
    <row r="22" spans="1:4" ht="19.5" customHeight="1">
      <c r="A22" s="93" t="s">
        <v>121</v>
      </c>
      <c r="B22" s="167">
        <v>550</v>
      </c>
      <c r="C22" s="77">
        <f>98000+11000</f>
        <v>109000</v>
      </c>
      <c r="D22" s="77"/>
    </row>
    <row r="23" spans="1:4" ht="19.5" customHeight="1">
      <c r="A23" s="93" t="s">
        <v>20</v>
      </c>
      <c r="B23" s="167">
        <v>450</v>
      </c>
      <c r="C23" s="77">
        <f>109331.59+691018.69+108000-429392.39</f>
        <v>478957.8899999999</v>
      </c>
      <c r="D23" s="77"/>
    </row>
    <row r="24" spans="1:4" ht="19.5" customHeight="1">
      <c r="A24" s="93" t="s">
        <v>21</v>
      </c>
      <c r="B24" s="167">
        <v>500</v>
      </c>
      <c r="C24" s="77">
        <f>801755+499000+3122900</f>
        <v>4423655</v>
      </c>
      <c r="D24" s="77"/>
    </row>
    <row r="25" spans="1:4" ht="19.5" customHeight="1">
      <c r="A25" s="93" t="s">
        <v>270</v>
      </c>
      <c r="B25" s="167">
        <v>601</v>
      </c>
      <c r="C25" s="77"/>
      <c r="D25" s="77">
        <v>284326</v>
      </c>
    </row>
    <row r="26" spans="1:5" s="163" customFormat="1" ht="19.5" customHeight="1">
      <c r="A26" s="105" t="s">
        <v>25</v>
      </c>
      <c r="B26" s="168">
        <v>821</v>
      </c>
      <c r="C26" s="106"/>
      <c r="D26" s="106">
        <f>1!D29</f>
        <v>8049336.8</v>
      </c>
      <c r="E26" s="272"/>
    </row>
    <row r="27" spans="1:4" s="163" customFormat="1" ht="19.5" customHeight="1">
      <c r="A27" s="105" t="s">
        <v>26</v>
      </c>
      <c r="B27" s="282">
        <v>900</v>
      </c>
      <c r="D27" s="107">
        <f>2!E13</f>
        <v>629882.4600000001</v>
      </c>
    </row>
    <row r="28" spans="1:4" s="163" customFormat="1" ht="19.5" customHeight="1">
      <c r="A28" s="105" t="s">
        <v>24</v>
      </c>
      <c r="B28" s="170">
        <v>600</v>
      </c>
      <c r="C28" s="106"/>
      <c r="D28" s="212">
        <f>+3!F31</f>
        <v>3404260</v>
      </c>
    </row>
    <row r="29" spans="1:4" s="163" customFormat="1" ht="19.5" customHeight="1">
      <c r="A29" s="105" t="s">
        <v>23</v>
      </c>
      <c r="B29" s="170">
        <v>602</v>
      </c>
      <c r="C29" s="106"/>
      <c r="D29" s="212">
        <f>+4!F26</f>
        <v>446124.82</v>
      </c>
    </row>
    <row r="30" spans="1:4" ht="19.5" customHeight="1">
      <c r="A30" s="93" t="s">
        <v>27</v>
      </c>
      <c r="B30" s="171">
        <v>703</v>
      </c>
      <c r="C30" s="77"/>
      <c r="D30" s="68">
        <v>2417811.11</v>
      </c>
    </row>
    <row r="31" spans="1:5" ht="19.5" customHeight="1">
      <c r="A31" s="93" t="s">
        <v>28</v>
      </c>
      <c r="B31" s="171"/>
      <c r="C31" s="77"/>
      <c r="D31" s="77">
        <f>967392.39-111200-426800-429392.39</f>
        <v>0</v>
      </c>
      <c r="E31" s="98"/>
    </row>
    <row r="32" spans="1:4" s="164" customFormat="1" ht="19.5" customHeight="1">
      <c r="A32" s="103" t="s">
        <v>269</v>
      </c>
      <c r="B32" s="172" t="s">
        <v>301</v>
      </c>
      <c r="C32" s="104"/>
      <c r="D32" s="104">
        <f>+5!M78</f>
        <v>0</v>
      </c>
    </row>
    <row r="33" spans="1:4" s="165" customFormat="1" ht="19.5" customHeight="1">
      <c r="A33" s="100" t="s">
        <v>29</v>
      </c>
      <c r="B33" s="283" t="s">
        <v>302</v>
      </c>
      <c r="C33" s="101"/>
      <c r="D33" s="101">
        <f>1958582+1958583</f>
        <v>3917165</v>
      </c>
    </row>
    <row r="34" spans="1:4" ht="19.5" customHeight="1">
      <c r="A34" s="94" t="s">
        <v>30</v>
      </c>
      <c r="B34" s="174"/>
      <c r="C34" s="80"/>
      <c r="D34" s="99">
        <f>2314999.27-296453-1885+111200-242672.6-40500+12000-890900-81200+7637.14+1140</f>
        <v>893365.8099999999</v>
      </c>
    </row>
    <row r="35" spans="3:4" ht="19.5" customHeight="1" thickBot="1">
      <c r="C35" s="96">
        <f>SUM(C6:C34)</f>
        <v>20037780.25</v>
      </c>
      <c r="D35" s="97">
        <f>SUM(D6:D34)</f>
        <v>20042271.999999996</v>
      </c>
    </row>
    <row r="36" ht="21" customHeight="1" thickTop="1">
      <c r="D36" s="98">
        <f>C35-D35</f>
        <v>-4491.749999996275</v>
      </c>
    </row>
    <row r="37" spans="1:4" ht="19.5" customHeight="1">
      <c r="A37" s="161" t="s">
        <v>190</v>
      </c>
      <c r="B37" s="160"/>
      <c r="C37" s="159"/>
      <c r="D37" s="187"/>
    </row>
    <row r="38" spans="1:4" ht="19.5" customHeight="1">
      <c r="A38" s="95" t="s">
        <v>183</v>
      </c>
      <c r="B38" s="160"/>
      <c r="D38" s="188"/>
    </row>
    <row r="39" spans="1:4" ht="19.5" customHeight="1">
      <c r="A39" s="95" t="s">
        <v>309</v>
      </c>
      <c r="B39" s="160"/>
      <c r="D39" s="98"/>
    </row>
    <row r="40" spans="1:4" ht="19.5" customHeight="1">
      <c r="A40" s="209" t="s">
        <v>184</v>
      </c>
      <c r="B40" s="160"/>
      <c r="D40" s="98"/>
    </row>
    <row r="41" spans="1:4" ht="19.5" customHeight="1">
      <c r="A41" s="95" t="s">
        <v>185</v>
      </c>
      <c r="B41" s="160"/>
      <c r="D41" s="98"/>
    </row>
    <row r="42" spans="1:3" s="161" customFormat="1" ht="19.5" customHeight="1">
      <c r="A42" s="161" t="s">
        <v>186</v>
      </c>
      <c r="B42" s="160"/>
      <c r="C42" s="161" t="s">
        <v>187</v>
      </c>
    </row>
    <row r="43" spans="1:4" ht="19.5" customHeight="1">
      <c r="A43" s="95" t="s">
        <v>241</v>
      </c>
      <c r="B43" s="160"/>
      <c r="D43" s="95" t="s">
        <v>142</v>
      </c>
    </row>
    <row r="44" spans="1:4" ht="19.5" customHeight="1">
      <c r="A44" s="214" t="s">
        <v>242</v>
      </c>
      <c r="B44" s="214"/>
      <c r="C44" s="214"/>
      <c r="D44" s="95" t="s">
        <v>143</v>
      </c>
    </row>
    <row r="45" ht="19.5" customHeight="1">
      <c r="B45" s="215"/>
    </row>
    <row r="46" spans="1:4" ht="18" customHeight="1">
      <c r="A46" s="454" t="s">
        <v>0</v>
      </c>
      <c r="B46" s="454"/>
      <c r="C46" s="454"/>
      <c r="D46" s="454"/>
    </row>
    <row r="47" spans="1:4" ht="18" customHeight="1">
      <c r="A47" s="454" t="s">
        <v>1</v>
      </c>
      <c r="B47" s="454"/>
      <c r="C47" s="454"/>
      <c r="D47" s="454"/>
    </row>
    <row r="48" spans="1:4" ht="18" customHeight="1">
      <c r="A48" s="454" t="s">
        <v>216</v>
      </c>
      <c r="B48" s="454"/>
      <c r="C48" s="454"/>
      <c r="D48" s="454"/>
    </row>
    <row r="49" spans="1:4" ht="5.25" customHeight="1">
      <c r="A49" s="161"/>
      <c r="B49" s="160"/>
      <c r="C49" s="161"/>
      <c r="D49" s="161"/>
    </row>
    <row r="50" spans="1:4" ht="18" customHeight="1">
      <c r="A50" s="91" t="s">
        <v>2</v>
      </c>
      <c r="B50" s="91" t="s">
        <v>3</v>
      </c>
      <c r="C50" s="91" t="s">
        <v>4</v>
      </c>
      <c r="D50" s="91" t="s">
        <v>5</v>
      </c>
    </row>
    <row r="51" spans="1:4" ht="20.25" customHeight="1">
      <c r="A51" s="92" t="s">
        <v>6</v>
      </c>
      <c r="B51" s="166" t="s">
        <v>191</v>
      </c>
      <c r="C51" s="81">
        <v>3374.5</v>
      </c>
      <c r="D51" s="81"/>
    </row>
    <row r="52" spans="1:4" ht="20.25" customHeight="1">
      <c r="A52" s="93" t="s">
        <v>7</v>
      </c>
      <c r="B52" s="167" t="s">
        <v>192</v>
      </c>
      <c r="C52" s="77">
        <v>0</v>
      </c>
      <c r="D52" s="77"/>
    </row>
    <row r="53" spans="1:4" ht="20.25" customHeight="1">
      <c r="A53" s="93" t="s">
        <v>8</v>
      </c>
      <c r="B53" s="167" t="s">
        <v>193</v>
      </c>
      <c r="C53" s="77">
        <v>7263352.31</v>
      </c>
      <c r="D53" s="77"/>
    </row>
    <row r="54" spans="1:4" ht="20.25" customHeight="1">
      <c r="A54" s="93" t="s">
        <v>9</v>
      </c>
      <c r="B54" s="167" t="s">
        <v>194</v>
      </c>
      <c r="C54" s="77">
        <v>293606.41</v>
      </c>
      <c r="D54" s="77"/>
    </row>
    <row r="55" spans="1:4" ht="20.25" customHeight="1">
      <c r="A55" s="93" t="s">
        <v>10</v>
      </c>
      <c r="B55" s="166" t="s">
        <v>138</v>
      </c>
      <c r="C55" s="77">
        <v>7210</v>
      </c>
      <c r="D55" s="77"/>
    </row>
    <row r="56" spans="1:4" ht="20.25" customHeight="1">
      <c r="A56" s="93" t="s">
        <v>101</v>
      </c>
      <c r="B56" s="167"/>
      <c r="C56" s="77">
        <v>0</v>
      </c>
      <c r="D56" s="77"/>
    </row>
    <row r="57" spans="1:4" ht="20.25" customHeight="1">
      <c r="A57" s="93" t="s">
        <v>11</v>
      </c>
      <c r="B57" s="167"/>
      <c r="C57" s="68">
        <v>42408.95</v>
      </c>
      <c r="D57" s="77"/>
    </row>
    <row r="58" spans="1:4" ht="20.25" customHeight="1">
      <c r="A58" s="93" t="s">
        <v>22</v>
      </c>
      <c r="B58" s="167"/>
      <c r="C58" s="77">
        <v>259680</v>
      </c>
      <c r="D58" s="77"/>
    </row>
    <row r="59" spans="1:4" ht="20.25" customHeight="1">
      <c r="A59" s="93" t="s">
        <v>12</v>
      </c>
      <c r="B59" s="167"/>
      <c r="C59" s="77">
        <v>594495.16</v>
      </c>
      <c r="D59" s="77"/>
    </row>
    <row r="60" spans="1:4" ht="20.25" customHeight="1">
      <c r="A60" s="93" t="s">
        <v>13</v>
      </c>
      <c r="B60" s="167"/>
      <c r="C60" s="77">
        <v>73700</v>
      </c>
      <c r="D60" s="77"/>
    </row>
    <row r="61" spans="1:4" ht="20.25" customHeight="1">
      <c r="A61" s="93" t="s">
        <v>14</v>
      </c>
      <c r="B61" s="167"/>
      <c r="C61" s="77">
        <v>24400</v>
      </c>
      <c r="D61" s="77"/>
    </row>
    <row r="62" spans="1:4" ht="20.25" customHeight="1">
      <c r="A62" s="93" t="s">
        <v>15</v>
      </c>
      <c r="B62" s="167"/>
      <c r="C62" s="77">
        <v>430125</v>
      </c>
      <c r="D62" s="77"/>
    </row>
    <row r="63" spans="1:4" ht="20.25" customHeight="1">
      <c r="A63" s="93" t="s">
        <v>16</v>
      </c>
      <c r="B63" s="167"/>
      <c r="C63" s="77">
        <v>246879.59</v>
      </c>
      <c r="D63" s="77"/>
    </row>
    <row r="64" spans="1:4" ht="20.25" customHeight="1">
      <c r="A64" s="93" t="s">
        <v>17</v>
      </c>
      <c r="B64" s="167"/>
      <c r="C64" s="77">
        <v>33634.7</v>
      </c>
      <c r="D64" s="77"/>
    </row>
    <row r="65" spans="1:4" ht="20.25" customHeight="1">
      <c r="A65" s="93" t="s">
        <v>18</v>
      </c>
      <c r="B65" s="167"/>
      <c r="C65" s="77">
        <v>25296</v>
      </c>
      <c r="D65" s="77"/>
    </row>
    <row r="66" spans="1:4" ht="20.25" customHeight="1">
      <c r="A66" s="93" t="s">
        <v>19</v>
      </c>
      <c r="B66" s="167"/>
      <c r="C66" s="77">
        <v>38000</v>
      </c>
      <c r="D66" s="77"/>
    </row>
    <row r="67" spans="1:4" ht="20.25" customHeight="1">
      <c r="A67" s="93" t="s">
        <v>121</v>
      </c>
      <c r="B67" s="167"/>
      <c r="C67" s="77">
        <v>36000</v>
      </c>
      <c r="D67" s="77"/>
    </row>
    <row r="68" spans="1:4" ht="20.25" customHeight="1">
      <c r="A68" s="93" t="s">
        <v>20</v>
      </c>
      <c r="B68" s="167"/>
      <c r="C68" s="77">
        <v>45881.59</v>
      </c>
      <c r="D68" s="77"/>
    </row>
    <row r="69" spans="1:4" ht="20.25" customHeight="1">
      <c r="A69" s="93" t="s">
        <v>21</v>
      </c>
      <c r="B69" s="167"/>
      <c r="C69" s="77">
        <v>0</v>
      </c>
      <c r="D69" s="77"/>
    </row>
    <row r="70" spans="1:4" ht="20.25" customHeight="1">
      <c r="A70" s="105" t="s">
        <v>25</v>
      </c>
      <c r="B70" s="168"/>
      <c r="C70" s="106"/>
      <c r="D70" s="106">
        <v>2008154.32</v>
      </c>
    </row>
    <row r="71" spans="1:4" ht="20.25" customHeight="1">
      <c r="A71" s="105" t="s">
        <v>26</v>
      </c>
      <c r="B71" s="169"/>
      <c r="C71" s="163"/>
      <c r="D71" s="107">
        <v>692326.44</v>
      </c>
    </row>
    <row r="72" spans="1:4" ht="20.25" customHeight="1">
      <c r="A72" s="105" t="s">
        <v>24</v>
      </c>
      <c r="B72" s="170"/>
      <c r="C72" s="106"/>
      <c r="D72" s="107">
        <v>279007.48</v>
      </c>
    </row>
    <row r="73" spans="1:4" ht="20.25" customHeight="1">
      <c r="A73" s="105" t="s">
        <v>23</v>
      </c>
      <c r="B73" s="170"/>
      <c r="C73" s="106"/>
      <c r="D73" s="107">
        <v>123056.2</v>
      </c>
    </row>
    <row r="74" spans="1:4" ht="20.25" customHeight="1">
      <c r="A74" s="93" t="s">
        <v>27</v>
      </c>
      <c r="B74" s="171"/>
      <c r="C74" s="77"/>
      <c r="D74" s="68">
        <v>2417811.11</v>
      </c>
    </row>
    <row r="75" spans="1:4" ht="20.25" customHeight="1">
      <c r="A75" s="93" t="s">
        <v>28</v>
      </c>
      <c r="B75" s="171"/>
      <c r="C75" s="77"/>
      <c r="D75" s="77">
        <v>967392.39</v>
      </c>
    </row>
    <row r="76" spans="1:4" ht="20.25" customHeight="1">
      <c r="A76" s="103" t="s">
        <v>100</v>
      </c>
      <c r="B76" s="172"/>
      <c r="C76" s="104"/>
      <c r="D76" s="104">
        <v>615297</v>
      </c>
    </row>
    <row r="77" spans="1:4" ht="20.25" customHeight="1">
      <c r="A77" s="100" t="s">
        <v>29</v>
      </c>
      <c r="B77" s="173"/>
      <c r="C77" s="101"/>
      <c r="D77" s="101">
        <v>0</v>
      </c>
    </row>
    <row r="78" spans="1:4" ht="20.25" customHeight="1">
      <c r="A78" s="94" t="s">
        <v>30</v>
      </c>
      <c r="B78" s="174"/>
      <c r="C78" s="80"/>
      <c r="D78" s="99">
        <v>2314999.27</v>
      </c>
    </row>
    <row r="79" spans="3:4" ht="21" customHeight="1" thickBot="1">
      <c r="C79" s="96">
        <f>SUM(C51:C78)</f>
        <v>9418044.209999999</v>
      </c>
      <c r="D79" s="97">
        <f>SUM(D51:D78)</f>
        <v>9418044.209999999</v>
      </c>
    </row>
    <row r="80" ht="6.75" customHeight="1" thickTop="1">
      <c r="D80" s="98">
        <f>C79-D79</f>
        <v>0</v>
      </c>
    </row>
    <row r="81" spans="1:4" s="194" customFormat="1" ht="18.75" customHeight="1">
      <c r="A81" s="190" t="s">
        <v>218</v>
      </c>
      <c r="B81" s="191"/>
      <c r="C81" s="192"/>
      <c r="D81" s="193"/>
    </row>
    <row r="82" spans="1:4" s="194" customFormat="1" ht="18.75" customHeight="1">
      <c r="A82" s="194" t="s">
        <v>183</v>
      </c>
      <c r="B82" s="191"/>
      <c r="D82" s="195"/>
    </row>
    <row r="83" spans="1:4" s="194" customFormat="1" ht="18.75" customHeight="1">
      <c r="A83" s="194" t="s">
        <v>217</v>
      </c>
      <c r="B83" s="191"/>
      <c r="D83" s="189"/>
    </row>
    <row r="84" spans="1:4" s="194" customFormat="1" ht="18.75" customHeight="1">
      <c r="A84" s="194" t="s">
        <v>184</v>
      </c>
      <c r="B84" s="191"/>
      <c r="D84" s="189"/>
    </row>
    <row r="85" spans="1:4" s="194" customFormat="1" ht="18.75" customHeight="1">
      <c r="A85" s="194" t="s">
        <v>185</v>
      </c>
      <c r="B85" s="191"/>
      <c r="D85" s="189"/>
    </row>
    <row r="86" spans="1:4" s="194" customFormat="1" ht="26.25" customHeight="1">
      <c r="A86" s="190" t="s">
        <v>186</v>
      </c>
      <c r="B86" s="191"/>
      <c r="C86" s="190" t="s">
        <v>187</v>
      </c>
      <c r="D86" s="190"/>
    </row>
    <row r="87" spans="1:4" s="194" customFormat="1" ht="18.75" customHeight="1">
      <c r="A87" s="194" t="s">
        <v>188</v>
      </c>
      <c r="B87" s="191"/>
      <c r="D87" s="194" t="s">
        <v>142</v>
      </c>
    </row>
    <row r="88" spans="1:4" s="194" customFormat="1" ht="18.75" customHeight="1">
      <c r="A88" s="194" t="s">
        <v>189</v>
      </c>
      <c r="B88" s="191"/>
      <c r="D88" s="194" t="s">
        <v>143</v>
      </c>
    </row>
  </sheetData>
  <mergeCells count="6">
    <mergeCell ref="A48:D48"/>
    <mergeCell ref="A47:D47"/>
    <mergeCell ref="A1:D1"/>
    <mergeCell ref="A2:D2"/>
    <mergeCell ref="A3:D3"/>
    <mergeCell ref="A46:D46"/>
  </mergeCells>
  <printOptions/>
  <pageMargins left="0.7480314960629921" right="0.2755905511811024" top="0.35433070866141736" bottom="0.3937007874015748" header="0.5118110236220472" footer="0.5118110236220472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70">
      <selection activeCell="E16" sqref="E16"/>
    </sheetView>
  </sheetViews>
  <sheetFormatPr defaultColWidth="9.140625" defaultRowHeight="21.75"/>
  <cols>
    <col min="1" max="1" width="37.57421875" style="1" customWidth="1"/>
    <col min="2" max="2" width="19.7109375" style="1" customWidth="1"/>
    <col min="3" max="3" width="19.140625" style="1" customWidth="1"/>
    <col min="4" max="4" width="18.421875" style="1" customWidth="1"/>
    <col min="5" max="16384" width="9.140625" style="1" customWidth="1"/>
  </cols>
  <sheetData>
    <row r="1" spans="1:4" ht="24">
      <c r="A1" s="456" t="s">
        <v>0</v>
      </c>
      <c r="B1" s="456"/>
      <c r="C1" s="456"/>
      <c r="D1" s="456"/>
    </row>
    <row r="2" spans="1:4" ht="24">
      <c r="A2" s="455" t="s">
        <v>75</v>
      </c>
      <c r="B2" s="456"/>
      <c r="C2" s="456"/>
      <c r="D2" s="456"/>
    </row>
    <row r="3" spans="1:4" ht="24">
      <c r="A3" s="456" t="s">
        <v>265</v>
      </c>
      <c r="B3" s="456"/>
      <c r="C3" s="456"/>
      <c r="D3" s="456"/>
    </row>
    <row r="4" spans="1:4" s="3" customFormat="1" ht="30.75" customHeight="1">
      <c r="A4" s="9" t="s">
        <v>2</v>
      </c>
      <c r="B4" s="9" t="s">
        <v>49</v>
      </c>
      <c r="C4" s="9" t="s">
        <v>50</v>
      </c>
      <c r="D4" s="9" t="s">
        <v>51</v>
      </c>
    </row>
    <row r="5" spans="1:4" ht="24">
      <c r="A5" s="16"/>
      <c r="B5" s="13"/>
      <c r="C5" s="13"/>
      <c r="D5" s="13"/>
    </row>
    <row r="6" spans="1:4" ht="24">
      <c r="A6" s="12" t="s">
        <v>31</v>
      </c>
      <c r="B6" s="14">
        <v>67517.3</v>
      </c>
      <c r="C6" s="14">
        <v>1337.67</v>
      </c>
      <c r="D6" s="76">
        <f>SUM(B6+C6)</f>
        <v>68854.97</v>
      </c>
    </row>
    <row r="7" spans="1:4" ht="24">
      <c r="A7" s="5" t="s">
        <v>32</v>
      </c>
      <c r="B7" s="14">
        <v>31034.54</v>
      </c>
      <c r="C7" s="10"/>
      <c r="D7" s="75">
        <f>SUM(B7+C7)</f>
        <v>31034.54</v>
      </c>
    </row>
    <row r="8" spans="1:4" ht="24">
      <c r="A8" s="5" t="s">
        <v>146</v>
      </c>
      <c r="B8" s="14">
        <v>2000</v>
      </c>
      <c r="C8" s="10"/>
      <c r="D8" s="75">
        <f>SUM(B8+C8)</f>
        <v>2000</v>
      </c>
    </row>
    <row r="9" spans="1:4" ht="24">
      <c r="A9" s="5" t="s">
        <v>33</v>
      </c>
      <c r="B9" s="14">
        <v>4910</v>
      </c>
      <c r="C9" s="10">
        <v>400</v>
      </c>
      <c r="D9" s="10">
        <f aca="true" t="shared" si="0" ref="D9:D26">SUM(B9+C9)</f>
        <v>5310</v>
      </c>
    </row>
    <row r="10" spans="1:4" ht="24">
      <c r="A10" s="5" t="s">
        <v>34</v>
      </c>
      <c r="B10" s="14">
        <v>814.8</v>
      </c>
      <c r="C10" s="10"/>
      <c r="D10" s="10">
        <f t="shared" si="0"/>
        <v>814.8</v>
      </c>
    </row>
    <row r="11" spans="1:4" ht="24">
      <c r="A11" s="5" t="s">
        <v>35</v>
      </c>
      <c r="B11" s="14">
        <v>45302</v>
      </c>
      <c r="C11" s="10"/>
      <c r="D11" s="75">
        <f t="shared" si="0"/>
        <v>45302</v>
      </c>
    </row>
    <row r="12" spans="1:4" ht="24">
      <c r="A12" s="5" t="s">
        <v>266</v>
      </c>
      <c r="B12" s="14">
        <v>0</v>
      </c>
      <c r="C12" s="10">
        <v>800</v>
      </c>
      <c r="D12" s="10">
        <f t="shared" si="0"/>
        <v>800</v>
      </c>
    </row>
    <row r="13" spans="1:4" ht="24">
      <c r="A13" s="5" t="s">
        <v>267</v>
      </c>
      <c r="B13" s="14">
        <v>0</v>
      </c>
      <c r="C13" s="10"/>
      <c r="D13" s="75">
        <f t="shared" si="0"/>
        <v>0</v>
      </c>
    </row>
    <row r="14" spans="1:4" ht="24">
      <c r="A14" s="5" t="s">
        <v>38</v>
      </c>
      <c r="B14" s="14">
        <v>3486715.27</v>
      </c>
      <c r="C14" s="10">
        <v>668163.55</v>
      </c>
      <c r="D14" s="75">
        <f t="shared" si="0"/>
        <v>4154878.8200000003</v>
      </c>
    </row>
    <row r="15" spans="1:4" ht="24">
      <c r="A15" s="5" t="s">
        <v>39</v>
      </c>
      <c r="B15" s="14">
        <v>1177480.75</v>
      </c>
      <c r="C15" s="10">
        <v>110553.15</v>
      </c>
      <c r="D15" s="75">
        <f t="shared" si="0"/>
        <v>1288033.9</v>
      </c>
    </row>
    <row r="16" spans="1:4" ht="24">
      <c r="A16" s="5" t="s">
        <v>37</v>
      </c>
      <c r="B16" s="14">
        <v>1284527.91</v>
      </c>
      <c r="C16" s="10">
        <v>113739.94</v>
      </c>
      <c r="D16" s="75">
        <f t="shared" si="0"/>
        <v>1398267.8499999999</v>
      </c>
    </row>
    <row r="17" spans="1:4" ht="24">
      <c r="A17" s="5" t="s">
        <v>40</v>
      </c>
      <c r="B17" s="14">
        <v>494895.3</v>
      </c>
      <c r="C17" s="10">
        <v>40952.06</v>
      </c>
      <c r="D17" s="75">
        <f t="shared" si="0"/>
        <v>535847.36</v>
      </c>
    </row>
    <row r="18" spans="1:4" ht="24">
      <c r="A18" s="5" t="s">
        <v>41</v>
      </c>
      <c r="B18" s="14">
        <v>66023.23</v>
      </c>
      <c r="C18" s="10">
        <v>4491.75</v>
      </c>
      <c r="D18" s="75">
        <f t="shared" si="0"/>
        <v>70514.98</v>
      </c>
    </row>
    <row r="19" spans="1:4" ht="24">
      <c r="A19" s="5" t="s">
        <v>42</v>
      </c>
      <c r="B19" s="14">
        <v>21608.04</v>
      </c>
      <c r="C19" s="10">
        <v>23251.3</v>
      </c>
      <c r="D19" s="10">
        <f t="shared" si="0"/>
        <v>44859.34</v>
      </c>
    </row>
    <row r="20" spans="1:4" ht="24">
      <c r="A20" s="5" t="s">
        <v>43</v>
      </c>
      <c r="B20" s="14">
        <v>24872.86</v>
      </c>
      <c r="D20" s="75">
        <f>SUM(B20+C18)</f>
        <v>29364.61</v>
      </c>
    </row>
    <row r="21" spans="1:4" ht="24">
      <c r="A21" s="5" t="s">
        <v>44</v>
      </c>
      <c r="B21" s="14">
        <v>163882</v>
      </c>
      <c r="C21" s="10">
        <v>34275</v>
      </c>
      <c r="D21" s="75">
        <f t="shared" si="0"/>
        <v>198157</v>
      </c>
    </row>
    <row r="22" spans="1:4" ht="24">
      <c r="A22" s="5" t="s">
        <v>182</v>
      </c>
      <c r="B22" s="14">
        <v>3060</v>
      </c>
      <c r="C22" s="10"/>
      <c r="D22" s="75">
        <f t="shared" si="0"/>
        <v>3060</v>
      </c>
    </row>
    <row r="23" spans="1:4" ht="24">
      <c r="A23" s="5" t="s">
        <v>45</v>
      </c>
      <c r="B23" s="14">
        <v>20917.15</v>
      </c>
      <c r="C23" s="10">
        <v>26319.48</v>
      </c>
      <c r="D23" s="10">
        <f t="shared" si="0"/>
        <v>47236.630000000005</v>
      </c>
    </row>
    <row r="24" spans="1:4" ht="24">
      <c r="A24" s="5" t="s">
        <v>46</v>
      </c>
      <c r="B24" s="14">
        <v>122600</v>
      </c>
      <c r="C24" s="10"/>
      <c r="D24" s="75">
        <f t="shared" si="0"/>
        <v>122600</v>
      </c>
    </row>
    <row r="25" spans="1:4" ht="24">
      <c r="A25" s="5" t="s">
        <v>47</v>
      </c>
      <c r="B25" s="14">
        <v>2400</v>
      </c>
      <c r="C25" s="10"/>
      <c r="D25" s="10">
        <f t="shared" si="0"/>
        <v>2400</v>
      </c>
    </row>
    <row r="26" spans="1:4" ht="24">
      <c r="A26" s="66" t="s">
        <v>48</v>
      </c>
      <c r="B26" s="14">
        <v>0</v>
      </c>
      <c r="C26" s="67"/>
      <c r="D26" s="10">
        <f t="shared" si="0"/>
        <v>0</v>
      </c>
    </row>
    <row r="27" spans="1:4" ht="24">
      <c r="A27" s="66"/>
      <c r="B27" s="67"/>
      <c r="C27" s="67"/>
      <c r="D27" s="67"/>
    </row>
    <row r="28" spans="1:4" ht="24">
      <c r="A28" s="7"/>
      <c r="B28" s="11"/>
      <c r="C28" s="11"/>
      <c r="D28" s="10">
        <f>SUM(B28+C28)</f>
        <v>0</v>
      </c>
    </row>
    <row r="29" spans="1:4" ht="24.75" thickBot="1">
      <c r="A29" s="64"/>
      <c r="B29" s="40">
        <f>SUM(B6:B28)</f>
        <v>7020561.150000001</v>
      </c>
      <c r="C29" s="40">
        <f>SUM(C6:C28)</f>
        <v>1024283.9000000001</v>
      </c>
      <c r="D29" s="40">
        <f>SUM(D6:D28)</f>
        <v>8049336.8</v>
      </c>
    </row>
    <row r="30" ht="24.75" thickTop="1"/>
    <row r="31" spans="1:3" s="84" customFormat="1" ht="24">
      <c r="A31" s="83"/>
      <c r="C31" s="85"/>
    </row>
    <row r="32" spans="3:4" s="84" customFormat="1" ht="24">
      <c r="C32" s="85"/>
      <c r="D32" s="85"/>
    </row>
    <row r="33" spans="3:4" s="84" customFormat="1" ht="24">
      <c r="C33" s="85"/>
      <c r="D33" s="85"/>
    </row>
    <row r="34" spans="1:4" ht="24">
      <c r="A34" s="456" t="s">
        <v>0</v>
      </c>
      <c r="B34" s="456"/>
      <c r="C34" s="456"/>
      <c r="D34" s="456"/>
    </row>
    <row r="35" spans="1:4" ht="24">
      <c r="A35" s="455" t="s">
        <v>75</v>
      </c>
      <c r="B35" s="456"/>
      <c r="C35" s="456"/>
      <c r="D35" s="456"/>
    </row>
    <row r="36" spans="1:4" ht="24">
      <c r="A36" s="456" t="s">
        <v>215</v>
      </c>
      <c r="B36" s="456"/>
      <c r="C36" s="456"/>
      <c r="D36" s="456"/>
    </row>
    <row r="37" spans="1:4" ht="24">
      <c r="A37" s="9" t="s">
        <v>2</v>
      </c>
      <c r="B37" s="9" t="s">
        <v>49</v>
      </c>
      <c r="C37" s="9" t="s">
        <v>50</v>
      </c>
      <c r="D37" s="9" t="s">
        <v>51</v>
      </c>
    </row>
    <row r="38" spans="1:4" ht="24">
      <c r="A38" s="16"/>
      <c r="B38" s="13"/>
      <c r="C38" s="13"/>
      <c r="D38" s="13"/>
    </row>
    <row r="39" spans="1:4" ht="24">
      <c r="A39" s="12" t="s">
        <v>31</v>
      </c>
      <c r="B39" s="14">
        <v>42588.3</v>
      </c>
      <c r="C39" s="14"/>
      <c r="D39" s="76">
        <f>SUM(B39+C39)</f>
        <v>42588.3</v>
      </c>
    </row>
    <row r="40" spans="1:4" ht="24">
      <c r="A40" s="5" t="s">
        <v>32</v>
      </c>
      <c r="B40" s="14">
        <v>22135.33</v>
      </c>
      <c r="C40" s="10">
        <f>33.46+184.94+126.02+32.84</f>
        <v>377.26</v>
      </c>
      <c r="D40" s="75">
        <f>SUM(B40+C40)</f>
        <v>22512.59</v>
      </c>
    </row>
    <row r="41" spans="1:4" ht="24">
      <c r="A41" s="5" t="s">
        <v>146</v>
      </c>
      <c r="B41" s="14">
        <v>2000</v>
      </c>
      <c r="C41" s="10"/>
      <c r="D41" s="75">
        <f>SUM(B41+C41)</f>
        <v>2000</v>
      </c>
    </row>
    <row r="42" spans="1:4" ht="24">
      <c r="A42" s="5" t="s">
        <v>33</v>
      </c>
      <c r="B42" s="14">
        <v>2670</v>
      </c>
      <c r="C42" s="10">
        <f>90+100</f>
        <v>190</v>
      </c>
      <c r="D42" s="10">
        <f aca="true" t="shared" si="1" ref="D42:D58">SUM(B42+C42)</f>
        <v>2860</v>
      </c>
    </row>
    <row r="43" spans="1:4" ht="24">
      <c r="A43" s="5" t="s">
        <v>34</v>
      </c>
      <c r="B43" s="14">
        <v>77.6</v>
      </c>
      <c r="C43" s="10"/>
      <c r="D43" s="10">
        <f t="shared" si="1"/>
        <v>77.6</v>
      </c>
    </row>
    <row r="44" spans="1:4" ht="24">
      <c r="A44" s="5" t="s">
        <v>35</v>
      </c>
      <c r="B44" s="14">
        <v>44602</v>
      </c>
      <c r="C44" s="10"/>
      <c r="D44" s="75">
        <f t="shared" si="1"/>
        <v>44602</v>
      </c>
    </row>
    <row r="45" spans="1:4" ht="24">
      <c r="A45" s="5" t="s">
        <v>36</v>
      </c>
      <c r="B45" s="14">
        <v>0</v>
      </c>
      <c r="C45" s="10"/>
      <c r="D45" s="10">
        <f t="shared" si="1"/>
        <v>0</v>
      </c>
    </row>
    <row r="46" spans="1:4" ht="24">
      <c r="A46" s="5" t="s">
        <v>38</v>
      </c>
      <c r="B46" s="14">
        <v>0</v>
      </c>
      <c r="C46" s="10"/>
      <c r="D46" s="75">
        <f t="shared" si="1"/>
        <v>0</v>
      </c>
    </row>
    <row r="47" spans="1:4" ht="24">
      <c r="A47" s="5" t="s">
        <v>196</v>
      </c>
      <c r="B47" s="14">
        <v>719019.4</v>
      </c>
      <c r="C47" s="10"/>
      <c r="D47" s="75">
        <f t="shared" si="1"/>
        <v>719019.4</v>
      </c>
    </row>
    <row r="48" spans="1:4" ht="24">
      <c r="A48" s="5" t="s">
        <v>39</v>
      </c>
      <c r="B48" s="14">
        <v>667919.93</v>
      </c>
      <c r="C48" s="10"/>
      <c r="D48" s="75">
        <f t="shared" si="1"/>
        <v>667919.93</v>
      </c>
    </row>
    <row r="49" spans="1:4" ht="24">
      <c r="A49" s="5" t="s">
        <v>37</v>
      </c>
      <c r="B49" s="14">
        <v>732965.57</v>
      </c>
      <c r="C49" s="10"/>
      <c r="D49" s="75">
        <f t="shared" si="1"/>
        <v>732965.57</v>
      </c>
    </row>
    <row r="50" spans="1:4" ht="24">
      <c r="A50" s="5" t="s">
        <v>40</v>
      </c>
      <c r="B50" s="14">
        <v>272670.39</v>
      </c>
      <c r="C50" s="10"/>
      <c r="D50" s="75">
        <f t="shared" si="1"/>
        <v>272670.39</v>
      </c>
    </row>
    <row r="51" spans="1:4" ht="24">
      <c r="A51" s="5" t="s">
        <v>41</v>
      </c>
      <c r="B51" s="14">
        <v>39670.96</v>
      </c>
      <c r="C51" s="10"/>
      <c r="D51" s="75">
        <f t="shared" si="1"/>
        <v>39670.96</v>
      </c>
    </row>
    <row r="52" spans="1:4" ht="24">
      <c r="A52" s="5" t="s">
        <v>42</v>
      </c>
      <c r="B52" s="14">
        <v>0</v>
      </c>
      <c r="C52" s="10"/>
      <c r="D52" s="10">
        <f t="shared" si="1"/>
        <v>0</v>
      </c>
    </row>
    <row r="53" spans="1:4" ht="24">
      <c r="A53" s="5" t="s">
        <v>43</v>
      </c>
      <c r="B53" s="14">
        <v>12403.79</v>
      </c>
      <c r="C53" s="10"/>
      <c r="D53" s="75">
        <f t="shared" si="1"/>
        <v>12403.79</v>
      </c>
    </row>
    <row r="54" spans="1:4" ht="24">
      <c r="A54" s="5" t="s">
        <v>44</v>
      </c>
      <c r="B54" s="14">
        <v>83059</v>
      </c>
      <c r="C54" s="10"/>
      <c r="D54" s="75">
        <f t="shared" si="1"/>
        <v>83059</v>
      </c>
    </row>
    <row r="55" spans="1:4" ht="24">
      <c r="A55" s="5" t="s">
        <v>182</v>
      </c>
      <c r="B55" s="14">
        <v>3060</v>
      </c>
      <c r="C55" s="10"/>
      <c r="D55" s="75">
        <f t="shared" si="1"/>
        <v>3060</v>
      </c>
    </row>
    <row r="56" spans="1:4" ht="24">
      <c r="A56" s="5" t="s">
        <v>45</v>
      </c>
      <c r="B56" s="14">
        <v>20917.15</v>
      </c>
      <c r="C56" s="10"/>
      <c r="D56" s="10">
        <f t="shared" si="1"/>
        <v>20917.15</v>
      </c>
    </row>
    <row r="57" spans="1:4" ht="24">
      <c r="A57" s="5" t="s">
        <v>46</v>
      </c>
      <c r="B57" s="14">
        <v>4000</v>
      </c>
      <c r="C57" s="10">
        <v>4000</v>
      </c>
      <c r="D57" s="75">
        <f t="shared" si="1"/>
        <v>8000</v>
      </c>
    </row>
    <row r="58" spans="1:4" ht="24">
      <c r="A58" s="5" t="s">
        <v>47</v>
      </c>
      <c r="B58" s="14">
        <v>800</v>
      </c>
      <c r="C58" s="10">
        <v>800</v>
      </c>
      <c r="D58" s="10">
        <f t="shared" si="1"/>
        <v>1600</v>
      </c>
    </row>
    <row r="59" spans="1:4" ht="24">
      <c r="A59" s="66" t="s">
        <v>48</v>
      </c>
      <c r="B59" s="14">
        <v>12000</v>
      </c>
      <c r="C59" s="67"/>
      <c r="D59" s="67">
        <v>12000</v>
      </c>
    </row>
    <row r="60" spans="1:4" ht="24">
      <c r="A60" s="66"/>
      <c r="B60" s="67"/>
      <c r="C60" s="67"/>
      <c r="D60" s="67"/>
    </row>
    <row r="61" spans="1:4" ht="24">
      <c r="A61" s="7"/>
      <c r="B61" s="11"/>
      <c r="C61" s="11"/>
      <c r="D61" s="10">
        <f>SUM(B61+C61)</f>
        <v>0</v>
      </c>
    </row>
    <row r="62" spans="1:4" ht="24.75" thickBot="1">
      <c r="A62" s="64"/>
      <c r="B62" s="40">
        <f>SUM(B39:B61)</f>
        <v>2682559.42</v>
      </c>
      <c r="C62" s="40">
        <f>SUM(C39:C61)</f>
        <v>5367.26</v>
      </c>
      <c r="D62" s="40">
        <f>SUM(D39:D61)</f>
        <v>2687926.68</v>
      </c>
    </row>
    <row r="63" ht="24.75" thickTop="1"/>
  </sheetData>
  <mergeCells count="6">
    <mergeCell ref="A35:D35"/>
    <mergeCell ref="A36:D36"/>
    <mergeCell ref="A1:D1"/>
    <mergeCell ref="A2:D2"/>
    <mergeCell ref="A3:D3"/>
    <mergeCell ref="A34:D34"/>
  </mergeCells>
  <printOptions/>
  <pageMargins left="0.75" right="0.29" top="0.59" bottom="1" header="0.5" footer="0.5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7">
      <selection activeCell="A1" sqref="A1:E15"/>
    </sheetView>
  </sheetViews>
  <sheetFormatPr defaultColWidth="9.140625" defaultRowHeight="21.75"/>
  <cols>
    <col min="1" max="1" width="31.00390625" style="1" customWidth="1"/>
    <col min="2" max="5" width="16.00390625" style="1" customWidth="1"/>
    <col min="6" max="16384" width="9.140625" style="1" customWidth="1"/>
  </cols>
  <sheetData>
    <row r="1" spans="1:5" ht="24">
      <c r="A1" s="456" t="s">
        <v>0</v>
      </c>
      <c r="B1" s="456"/>
      <c r="C1" s="456"/>
      <c r="D1" s="456"/>
      <c r="E1" s="456"/>
    </row>
    <row r="2" spans="1:5" ht="24">
      <c r="A2" s="455" t="s">
        <v>76</v>
      </c>
      <c r="B2" s="456"/>
      <c r="C2" s="456"/>
      <c r="D2" s="456"/>
      <c r="E2" s="456"/>
    </row>
    <row r="3" spans="1:5" ht="24">
      <c r="A3" s="456" t="s">
        <v>282</v>
      </c>
      <c r="B3" s="456"/>
      <c r="C3" s="456"/>
      <c r="D3" s="456"/>
      <c r="E3" s="456"/>
    </row>
    <row r="5" spans="1:5" s="275" customFormat="1" ht="34.5" customHeight="1">
      <c r="A5" s="273" t="s">
        <v>2</v>
      </c>
      <c r="B5" s="274" t="s">
        <v>52</v>
      </c>
      <c r="C5" s="274" t="s">
        <v>53</v>
      </c>
      <c r="D5" s="274" t="s">
        <v>54</v>
      </c>
      <c r="E5" s="274" t="s">
        <v>51</v>
      </c>
    </row>
    <row r="6" spans="1:5" ht="24">
      <c r="A6" s="8" t="s">
        <v>55</v>
      </c>
      <c r="B6" s="41">
        <v>10429.7</v>
      </c>
      <c r="C6" s="79">
        <v>13489.44</v>
      </c>
      <c r="D6" s="79">
        <v>10429.7</v>
      </c>
      <c r="E6" s="41">
        <f>SUM(B6+C6-D6)</f>
        <v>13489.439999999999</v>
      </c>
    </row>
    <row r="7" spans="1:5" ht="24">
      <c r="A7" s="8" t="s">
        <v>60</v>
      </c>
      <c r="B7" s="41">
        <v>3238</v>
      </c>
      <c r="C7" s="79">
        <v>3238</v>
      </c>
      <c r="D7" s="79">
        <v>6476</v>
      </c>
      <c r="E7" s="41">
        <f>B7+C7-D7</f>
        <v>0</v>
      </c>
    </row>
    <row r="8" spans="1:5" ht="24">
      <c r="A8" s="4" t="s">
        <v>56</v>
      </c>
      <c r="B8" s="21">
        <v>375164</v>
      </c>
      <c r="C8" s="79">
        <f>46295+2050</f>
        <v>48345</v>
      </c>
      <c r="D8" s="79">
        <v>49826</v>
      </c>
      <c r="E8" s="21">
        <f>SUM(B8+C8-D8)</f>
        <v>373683</v>
      </c>
    </row>
    <row r="9" spans="1:5" ht="24">
      <c r="A9" s="4" t="s">
        <v>57</v>
      </c>
      <c r="B9" s="21">
        <v>1526.06</v>
      </c>
      <c r="C9" s="77">
        <v>75.14</v>
      </c>
      <c r="D9" s="77"/>
      <c r="E9" s="21">
        <f>SUM(B9+C9-D9)</f>
        <v>1601.2</v>
      </c>
    </row>
    <row r="10" spans="1:5" ht="24">
      <c r="A10" s="4" t="s">
        <v>58</v>
      </c>
      <c r="B10" s="21">
        <v>1831.33</v>
      </c>
      <c r="C10" s="77">
        <v>90.19</v>
      </c>
      <c r="D10" s="77"/>
      <c r="E10" s="21">
        <f>SUM(B10+C10-D10)</f>
        <v>1921.52</v>
      </c>
    </row>
    <row r="11" spans="1:5" ht="24">
      <c r="A11" s="4" t="s">
        <v>59</v>
      </c>
      <c r="B11" s="21">
        <v>278513.34</v>
      </c>
      <c r="C11" s="68">
        <v>673.96</v>
      </c>
      <c r="D11" s="68">
        <v>40000</v>
      </c>
      <c r="E11" s="21">
        <f>SUM(B11+C11-D11)</f>
        <v>239187.30000000005</v>
      </c>
    </row>
    <row r="12" spans="1:5" ht="24">
      <c r="A12" s="6" t="s">
        <v>176</v>
      </c>
      <c r="B12" s="42">
        <v>0</v>
      </c>
      <c r="C12" s="80">
        <v>11890</v>
      </c>
      <c r="D12" s="80">
        <v>11890</v>
      </c>
      <c r="E12" s="21">
        <f>SUM(B12+C12-D12)</f>
        <v>0</v>
      </c>
    </row>
    <row r="13" spans="2:5" ht="30" customHeight="1">
      <c r="B13" s="43">
        <f>SUM(B6:B12)</f>
        <v>670702.43</v>
      </c>
      <c r="C13" s="78">
        <f>SUM(C6:C12)</f>
        <v>77801.73000000001</v>
      </c>
      <c r="D13" s="78">
        <f>SUM(D6:D12)</f>
        <v>118621.7</v>
      </c>
      <c r="E13" s="43">
        <f>SUM(E6:E12)</f>
        <v>629882.4600000001</v>
      </c>
    </row>
  </sheetData>
  <mergeCells count="3">
    <mergeCell ref="A1:E1"/>
    <mergeCell ref="A2:E2"/>
    <mergeCell ref="A3:E3"/>
  </mergeCells>
  <printOptions/>
  <pageMargins left="0.75" right="0.41" top="0.68" bottom="1" header="0.5" footer="0.5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C28" sqref="C28"/>
    </sheetView>
  </sheetViews>
  <sheetFormatPr defaultColWidth="9.140625" defaultRowHeight="21.75"/>
  <cols>
    <col min="1" max="1" width="3.421875" style="1" customWidth="1"/>
    <col min="2" max="2" width="44.8515625" style="1" customWidth="1"/>
    <col min="3" max="6" width="14.00390625" style="1" customWidth="1"/>
    <col min="7" max="16384" width="9.140625" style="1" customWidth="1"/>
  </cols>
  <sheetData>
    <row r="1" spans="1:6" ht="24">
      <c r="A1" s="456" t="s">
        <v>0</v>
      </c>
      <c r="B1" s="456"/>
      <c r="C1" s="456"/>
      <c r="D1" s="456"/>
      <c r="E1" s="456"/>
      <c r="F1" s="456"/>
    </row>
    <row r="2" spans="1:6" ht="24">
      <c r="A2" s="455" t="s">
        <v>77</v>
      </c>
      <c r="B2" s="456"/>
      <c r="C2" s="456"/>
      <c r="D2" s="456"/>
      <c r="E2" s="456"/>
      <c r="F2" s="456"/>
    </row>
    <row r="3" spans="1:6" ht="24">
      <c r="A3" s="456" t="s">
        <v>268</v>
      </c>
      <c r="B3" s="456"/>
      <c r="C3" s="456"/>
      <c r="D3" s="456"/>
      <c r="E3" s="456"/>
      <c r="F3" s="456"/>
    </row>
    <row r="5" spans="1:6" s="2" customFormat="1" ht="27" customHeight="1">
      <c r="A5" s="17" t="s">
        <v>61</v>
      </c>
      <c r="B5" s="17" t="s">
        <v>2</v>
      </c>
      <c r="C5" s="17" t="s">
        <v>63</v>
      </c>
      <c r="D5" s="17" t="s">
        <v>52</v>
      </c>
      <c r="E5" s="17" t="s">
        <v>62</v>
      </c>
      <c r="F5" s="17" t="s">
        <v>51</v>
      </c>
    </row>
    <row r="6" spans="1:6" s="143" customFormat="1" ht="23.25">
      <c r="A6" s="141"/>
      <c r="B6" s="141" t="s">
        <v>16</v>
      </c>
      <c r="C6" s="142">
        <f>SUM(C7:C10)</f>
        <v>100040</v>
      </c>
      <c r="D6" s="141"/>
      <c r="E6" s="141"/>
      <c r="F6" s="142">
        <f>SUM(F7:F10)</f>
        <v>98360</v>
      </c>
    </row>
    <row r="7" spans="1:6" s="22" customFormat="1" ht="21.75">
      <c r="A7" s="19" t="s">
        <v>64</v>
      </c>
      <c r="B7" s="20" t="s">
        <v>271</v>
      </c>
      <c r="C7" s="21">
        <v>5040</v>
      </c>
      <c r="D7" s="21">
        <v>3360</v>
      </c>
      <c r="E7" s="21">
        <v>0</v>
      </c>
      <c r="F7" s="21">
        <f>+D7-E7</f>
        <v>3360</v>
      </c>
    </row>
    <row r="8" spans="1:6" s="22" customFormat="1" ht="21.75">
      <c r="A8" s="19" t="s">
        <v>65</v>
      </c>
      <c r="B8" s="20" t="s">
        <v>272</v>
      </c>
      <c r="C8" s="21">
        <v>70000</v>
      </c>
      <c r="D8" s="21">
        <v>70000</v>
      </c>
      <c r="E8" s="21">
        <v>0</v>
      </c>
      <c r="F8" s="21">
        <f>+D8-E8</f>
        <v>70000</v>
      </c>
    </row>
    <row r="9" spans="1:6" s="22" customFormat="1" ht="21.75">
      <c r="A9" s="19" t="s">
        <v>66</v>
      </c>
      <c r="B9" s="20" t="s">
        <v>273</v>
      </c>
      <c r="C9" s="21">
        <v>25000</v>
      </c>
      <c r="D9" s="21">
        <v>25000</v>
      </c>
      <c r="E9" s="21"/>
      <c r="F9" s="21">
        <f>+D9-E9</f>
        <v>25000</v>
      </c>
    </row>
    <row r="10" spans="1:6" s="22" customFormat="1" ht="21.75">
      <c r="A10" s="19"/>
      <c r="B10" s="20"/>
      <c r="C10" s="144"/>
      <c r="D10" s="144"/>
      <c r="E10" s="21"/>
      <c r="F10" s="21"/>
    </row>
    <row r="11" spans="1:6" s="148" customFormat="1" ht="23.25">
      <c r="A11" s="145"/>
      <c r="B11" s="146" t="s">
        <v>284</v>
      </c>
      <c r="C11" s="147">
        <f>SUM(C12:C13)</f>
        <v>75000</v>
      </c>
      <c r="D11" s="147"/>
      <c r="E11" s="147"/>
      <c r="F11" s="150">
        <f>SUM(F12:F13)</f>
        <v>75000</v>
      </c>
    </row>
    <row r="12" spans="1:6" s="279" customFormat="1" ht="21.75">
      <c r="A12" s="276">
        <v>4</v>
      </c>
      <c r="B12" s="280" t="s">
        <v>285</v>
      </c>
      <c r="C12" s="277">
        <v>31000</v>
      </c>
      <c r="D12" s="278">
        <v>31000</v>
      </c>
      <c r="E12" s="278"/>
      <c r="F12" s="21">
        <f>+D12-E12</f>
        <v>31000</v>
      </c>
    </row>
    <row r="13" spans="1:6" s="22" customFormat="1" ht="21.75">
      <c r="A13" s="19">
        <v>5</v>
      </c>
      <c r="B13" s="29" t="s">
        <v>286</v>
      </c>
      <c r="C13" s="21">
        <v>44000</v>
      </c>
      <c r="D13" s="21">
        <v>44000</v>
      </c>
      <c r="E13" s="21"/>
      <c r="F13" s="21">
        <f>+D13-E13</f>
        <v>44000</v>
      </c>
    </row>
    <row r="14" spans="1:6" ht="24">
      <c r="A14" s="18"/>
      <c r="B14" s="5"/>
      <c r="C14" s="10"/>
      <c r="D14" s="10"/>
      <c r="E14" s="10"/>
      <c r="F14" s="10"/>
    </row>
    <row r="15" spans="1:6" s="151" customFormat="1" ht="23.25">
      <c r="A15" s="149"/>
      <c r="B15" s="149" t="s">
        <v>20</v>
      </c>
      <c r="C15" s="150">
        <f>SUM(C16:C17)</f>
        <v>108000</v>
      </c>
      <c r="D15" s="150"/>
      <c r="E15" s="150"/>
      <c r="F15" s="150">
        <f>SUM(F16:F17)</f>
        <v>108000</v>
      </c>
    </row>
    <row r="16" spans="1:6" s="22" customFormat="1" ht="21.75">
      <c r="A16" s="23">
        <v>6</v>
      </c>
      <c r="B16" s="20" t="s">
        <v>274</v>
      </c>
      <c r="C16" s="21">
        <v>108000</v>
      </c>
      <c r="D16" s="21">
        <v>108000</v>
      </c>
      <c r="E16" s="21"/>
      <c r="F16" s="21">
        <f>+D16-E16</f>
        <v>108000</v>
      </c>
    </row>
    <row r="17" spans="1:6" s="22" customFormat="1" ht="21.75">
      <c r="A17" s="23"/>
      <c r="B17" s="20" t="s">
        <v>275</v>
      </c>
      <c r="C17" s="21"/>
      <c r="D17" s="21"/>
      <c r="E17" s="21"/>
      <c r="F17" s="21"/>
    </row>
    <row r="18" spans="1:6" ht="24">
      <c r="A18" s="18"/>
      <c r="B18" s="5"/>
      <c r="C18" s="10"/>
      <c r="D18" s="10"/>
      <c r="E18" s="10"/>
      <c r="F18" s="10"/>
    </row>
    <row r="19" spans="1:6" s="151" customFormat="1" ht="23.25">
      <c r="A19" s="149"/>
      <c r="B19" s="149" t="s">
        <v>21</v>
      </c>
      <c r="C19" s="152">
        <f>SUM(C20:C27)</f>
        <v>3122900</v>
      </c>
      <c r="D19" s="150"/>
      <c r="E19" s="150"/>
      <c r="F19" s="152">
        <f>SUM(F20:F27)</f>
        <v>3122900</v>
      </c>
    </row>
    <row r="20" spans="1:6" s="22" customFormat="1" ht="21.75">
      <c r="A20" s="23">
        <v>7</v>
      </c>
      <c r="B20" s="20" t="s">
        <v>276</v>
      </c>
      <c r="C20" s="21">
        <v>92000</v>
      </c>
      <c r="D20" s="21">
        <v>92000</v>
      </c>
      <c r="E20" s="21"/>
      <c r="F20" s="21">
        <f>+D20-E20</f>
        <v>92000</v>
      </c>
    </row>
    <row r="21" spans="1:6" s="22" customFormat="1" ht="21.75">
      <c r="A21" s="23"/>
      <c r="B21" s="20" t="s">
        <v>277</v>
      </c>
      <c r="C21" s="21"/>
      <c r="D21" s="21"/>
      <c r="E21" s="21"/>
      <c r="F21" s="21">
        <f aca="true" t="shared" si="0" ref="F21:F27">+D21-E21</f>
        <v>0</v>
      </c>
    </row>
    <row r="22" spans="1:6" s="22" customFormat="1" ht="21.75">
      <c r="A22" s="23">
        <v>8</v>
      </c>
      <c r="B22" s="20" t="s">
        <v>278</v>
      </c>
      <c r="C22" s="21">
        <v>390000</v>
      </c>
      <c r="D22" s="21">
        <v>390000</v>
      </c>
      <c r="E22" s="21"/>
      <c r="F22" s="21">
        <f t="shared" si="0"/>
        <v>390000</v>
      </c>
    </row>
    <row r="23" spans="1:6" s="22" customFormat="1" ht="21.75">
      <c r="A23" s="23"/>
      <c r="B23" s="20" t="s">
        <v>279</v>
      </c>
      <c r="C23" s="21"/>
      <c r="D23" s="21"/>
      <c r="E23" s="21"/>
      <c r="F23" s="21">
        <f t="shared" si="0"/>
        <v>0</v>
      </c>
    </row>
    <row r="24" spans="1:6" s="22" customFormat="1" ht="21.75">
      <c r="A24" s="23">
        <v>9</v>
      </c>
      <c r="B24" s="20" t="s">
        <v>280</v>
      </c>
      <c r="C24" s="21">
        <v>220900</v>
      </c>
      <c r="D24" s="21">
        <v>220900</v>
      </c>
      <c r="E24" s="21"/>
      <c r="F24" s="21">
        <f t="shared" si="0"/>
        <v>220900</v>
      </c>
    </row>
    <row r="25" spans="1:6" s="22" customFormat="1" ht="21.75">
      <c r="A25" s="153">
        <v>10</v>
      </c>
      <c r="B25" s="154" t="s">
        <v>281</v>
      </c>
      <c r="C25" s="144">
        <v>2420000</v>
      </c>
      <c r="D25" s="144">
        <v>2420000</v>
      </c>
      <c r="E25" s="144"/>
      <c r="F25" s="21">
        <f t="shared" si="0"/>
        <v>2420000</v>
      </c>
    </row>
    <row r="26" spans="1:6" s="22" customFormat="1" ht="21.75">
      <c r="A26" s="153"/>
      <c r="B26" s="154"/>
      <c r="C26" s="144"/>
      <c r="D26" s="144"/>
      <c r="E26" s="144"/>
      <c r="F26" s="21">
        <f t="shared" si="0"/>
        <v>0</v>
      </c>
    </row>
    <row r="27" spans="1:6" s="22" customFormat="1" ht="21.75">
      <c r="A27" s="153"/>
      <c r="B27" s="154"/>
      <c r="C27" s="144"/>
      <c r="D27" s="144"/>
      <c r="E27" s="144"/>
      <c r="F27" s="21">
        <f t="shared" si="0"/>
        <v>0</v>
      </c>
    </row>
    <row r="28" spans="1:6" s="22" customFormat="1" ht="21.75">
      <c r="A28" s="153"/>
      <c r="B28" s="154"/>
      <c r="C28" s="154"/>
      <c r="D28" s="154"/>
      <c r="E28" s="154"/>
      <c r="F28" s="154"/>
    </row>
    <row r="29" spans="1:6" s="22" customFormat="1" ht="21.75">
      <c r="A29" s="153"/>
      <c r="B29" s="154"/>
      <c r="C29" s="154"/>
      <c r="D29" s="154"/>
      <c r="E29" s="154"/>
      <c r="F29" s="154"/>
    </row>
    <row r="30" spans="1:6" s="22" customFormat="1" ht="21.75">
      <c r="A30" s="24"/>
      <c r="B30" s="25"/>
      <c r="C30" s="25"/>
      <c r="D30" s="25"/>
      <c r="E30" s="25"/>
      <c r="F30" s="25"/>
    </row>
    <row r="31" spans="1:6" s="22" customFormat="1" ht="27" customHeight="1" thickBot="1">
      <c r="A31" s="26"/>
      <c r="C31" s="27">
        <f>+C6+C11+C15+C19</f>
        <v>3405940</v>
      </c>
      <c r="D31" s="27">
        <f>SUM(D6:D30)</f>
        <v>3404260</v>
      </c>
      <c r="E31" s="27">
        <f>SUM(E6:E30)</f>
        <v>0</v>
      </c>
      <c r="F31" s="27">
        <f>+F6+F11+F15+F19</f>
        <v>3404260</v>
      </c>
    </row>
    <row r="32" ht="24.75" thickTop="1">
      <c r="A32" s="15"/>
    </row>
    <row r="33" ht="24">
      <c r="A33" s="15"/>
    </row>
    <row r="34" ht="24">
      <c r="A34" s="15"/>
    </row>
    <row r="35" ht="24">
      <c r="A35" s="15"/>
    </row>
    <row r="36" ht="24">
      <c r="A36" s="15"/>
    </row>
    <row r="37" ht="24">
      <c r="A37" s="15"/>
    </row>
    <row r="38" ht="24">
      <c r="A38" s="15"/>
    </row>
  </sheetData>
  <mergeCells count="3">
    <mergeCell ref="A1:F1"/>
    <mergeCell ref="A2:F2"/>
    <mergeCell ref="A3:F3"/>
  </mergeCells>
  <printOptions/>
  <pageMargins left="0.47" right="0.22" top="0.66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khaonoi</dc:creator>
  <cp:keywords/>
  <dc:description/>
  <cp:lastModifiedBy>User</cp:lastModifiedBy>
  <cp:lastPrinted>2003-12-31T19:48:49Z</cp:lastPrinted>
  <dcterms:created xsi:type="dcterms:W3CDTF">2005-12-07T03:20:29Z</dcterms:created>
  <dcterms:modified xsi:type="dcterms:W3CDTF">2008-11-14T04:49:22Z</dcterms:modified>
  <cp:category/>
  <cp:version/>
  <cp:contentType/>
  <cp:contentStatus/>
</cp:coreProperties>
</file>