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9" activeTab="15"/>
  </bookViews>
  <sheets>
    <sheet name="งบทดลอง" sheetId="1" r:id="rId1"/>
    <sheet name="งบทดลอง เม.ย." sheetId="2" r:id="rId2"/>
    <sheet name="หมายเหตุ 1" sheetId="3" r:id="rId3"/>
    <sheet name="หมายเหตุ เม.ย." sheetId="4" r:id="rId4"/>
    <sheet name="หมายเหตุ 2" sheetId="5" r:id="rId5"/>
    <sheet name="หมายเหตุ 2เม.ย." sheetId="6" r:id="rId6"/>
    <sheet name="หมายเหตุ 4" sheetId="7" r:id="rId7"/>
    <sheet name="หมายเหตุ 4เม.ย." sheetId="8" r:id="rId8"/>
    <sheet name="หมายเหตุ6" sheetId="9" r:id="rId9"/>
    <sheet name="หมายเหตุ6 เม.ย." sheetId="10" r:id="rId10"/>
    <sheet name="รายรับ" sheetId="11" r:id="rId11"/>
    <sheet name="รายรับ เม.ย." sheetId="12" r:id="rId12"/>
    <sheet name="รายจ่าย" sheetId="13" r:id="rId13"/>
    <sheet name="รายจ่าย เม.ย." sheetId="14" r:id="rId14"/>
    <sheet name="งบกระทบ" sheetId="15" r:id="rId15"/>
    <sheet name="งบกระทบ เม.ย." sheetId="16" r:id="rId16"/>
  </sheets>
  <definedNames/>
  <calcPr fullCalcOnLoad="1"/>
</workbook>
</file>

<file path=xl/sharedStrings.xml><?xml version="1.0" encoding="utf-8"?>
<sst xmlns="http://schemas.openxmlformats.org/spreadsheetml/2006/main" count="561" uniqueCount="220">
  <si>
    <t>องค์การบริหารส่วนตำบลเขาน้อย อำเภอสิชล จังหวัดนครศรีธรรมราช</t>
  </si>
  <si>
    <t>งบทดลอง</t>
  </si>
  <si>
    <t>ชื่อบัญชี</t>
  </si>
  <si>
    <t>รหัส</t>
  </si>
  <si>
    <t>เดบิต</t>
  </si>
  <si>
    <t>เครดิต</t>
  </si>
  <si>
    <t>บัญชี</t>
  </si>
  <si>
    <t>เงินฝากธนาคารกรุงไทย กระแสรายวัน เพื่อการรับเงิน 828-6-00853-7</t>
  </si>
  <si>
    <t>021</t>
  </si>
  <si>
    <t>เงินฝากธนาคารกรุงไทย ออมทรัพย์ 828-0-34727-5</t>
  </si>
  <si>
    <t>022</t>
  </si>
  <si>
    <t>เงินฝากธนาคาร ธกส.     ออมทรัพย์  315-2-36479-9</t>
  </si>
  <si>
    <t>เงินฝากธนาคาร ธกส.     ออมทรัพย์  (บัญชี 2)  315-2-38545-8</t>
  </si>
  <si>
    <t>ลูกหนี้เงินยืมเงินสะสม</t>
  </si>
  <si>
    <t>090</t>
  </si>
  <si>
    <t>เงินงบกลาง</t>
  </si>
  <si>
    <t>000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</si>
  <si>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</si>
  <si>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</si>
  <si>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</si>
  <si>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</si>
  <si>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</si>
  <si>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</si>
  <si>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รายจ่ายอื่น</t>
  </si>
  <si>
    <t>เงินสะสม</t>
  </si>
  <si>
    <t>เงินทุนสำรองเงินสะสม</t>
  </si>
  <si>
    <t>องค์การบริหารส่วนตำบลเขาน้อยอำเภอสิชล  จังหวัดนครศรีธรรมราช</t>
  </si>
  <si>
    <t>รายการ</t>
  </si>
  <si>
    <t>ยอดยกมา</t>
  </si>
  <si>
    <t>รับเดือนนี้</t>
  </si>
  <si>
    <t>คงเหลือ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</si>
  <si>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</si>
  <si>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</si>
  <si>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</si>
  <si>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</si>
  <si>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ค่าธรรมเนียมอื่น</t>
  </si>
  <si>
    <t>ค่าปรับผู้กระทำผิดกฎหมายจราจรทางบก</t>
  </si>
  <si>
    <t>ค่าปรับการผิดสัญญา</t>
  </si>
  <si>
    <t>ค่าเช่าหรือบริการสถานที่</t>
  </si>
  <si>
    <t>ดอกเบี้ย</t>
  </si>
  <si>
    <t>ค่าขายแบบแปลน</t>
  </si>
  <si>
    <t>รายได้เบ็ดเตล็ดอื่น</t>
  </si>
  <si>
    <t>ภาษีมูลค่าเพิ่มตาม พ.ร.บ. กำหนดแผน</t>
  </si>
  <si>
    <t>ภาษีมูลค่าเพิ่ม 1/9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</si>
  <si>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</si>
  <si>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</si>
  <si>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</si>
  <si>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</si>
  <si>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</si>
  <si>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</si>
  <si>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ค่าธรรมเนียมจาการจดทะเบียนสิทธิและนิติกรรมที่ดิน</t>
  </si>
  <si>
    <t>ภาษีจัดสรรอื่น</t>
  </si>
  <si>
    <t>เงินอุดหนุนทั่วไปสำหรับดำเนินการตามอำนาจหน้าที่</t>
  </si>
  <si>
    <t xml:space="preserve">เงินรับฝาก  </t>
  </si>
  <si>
    <t>รับ</t>
  </si>
  <si>
    <t>จ่าย</t>
  </si>
  <si>
    <t>เงินรับฝาก - ภาษีหัก ณ ที่จ่าย</t>
  </si>
  <si>
    <t>เงินรับฝาก - เงินประกันสัญญา</t>
  </si>
  <si>
    <t>ค่าใช้จ่าย 5%</t>
  </si>
  <si>
    <t>ส่วนลด 6%</t>
  </si>
  <si>
    <t>เงินทุนโครงการเศรษฐกิจชุมชน</t>
  </si>
  <si>
    <t>เงินอนุมัติ</t>
  </si>
  <si>
    <t>เบิกจ่ายเดือนนี้</t>
  </si>
  <si>
    <t>รวมจ่าย</t>
  </si>
  <si>
    <t>เงินอุดหนุนระบุวัตถุประสงค์ ,เงินอุดหนุนพาะกิจ</t>
  </si>
  <si>
    <t>การรับ</t>
  </si>
  <si>
    <t>การจ่าย</t>
  </si>
  <si>
    <t>เดือนนี้</t>
  </si>
  <si>
    <t>รวม</t>
  </si>
  <si>
    <t>องค์การบริหารส่วนตำบลเขาน้อย</t>
  </si>
  <si>
    <t>รายงาน รับ - จ่าย เงินสด</t>
  </si>
  <si>
    <t>จนถึงปีปัจจุบัน</t>
  </si>
  <si>
    <t>ประมาณการ</t>
  </si>
  <si>
    <t>เกิดขึ้นจริง</t>
  </si>
  <si>
    <t>บาท</t>
  </si>
  <si>
    <t>รายรับ</t>
  </si>
  <si>
    <t>- ภาษีอากร</t>
  </si>
  <si>
    <t>0100</t>
  </si>
  <si>
    <t>- ค่าธรรมเนียม ค่าปรับ และใบอนุญาต</t>
  </si>
  <si>
    <t>0120</t>
  </si>
  <si>
    <t>- รายได้จากทรัพย์สิน</t>
  </si>
  <si>
    <t>0200</t>
  </si>
  <si>
    <t>- รายได้จากการสาธารณูปโภคและการพาณิชย์</t>
  </si>
  <si>
    <t>0250</t>
  </si>
  <si>
    <t>- รายได้เบ็ดเตล็ด</t>
  </si>
  <si>
    <t>0300</t>
  </si>
  <si>
    <t>- ภาษีจัดสรร</t>
  </si>
  <si>
    <t>- เงินอุดหนุน (อบต.)</t>
  </si>
  <si>
    <t>ภาษีหน้าฎีกา</t>
  </si>
  <si>
    <t>ลูกหนี้เงินยืมเงินนอกงบประมาณ</t>
  </si>
  <si>
    <t>ลูกหนี้เงินยืมเงินงบประมาณ</t>
  </si>
  <si>
    <t>รวมรายรับ</t>
  </si>
  <si>
    <t>รายจ่าย</t>
  </si>
  <si>
    <t>- งบกลาง</t>
  </si>
  <si>
    <t>- ค่าตอบแทน</t>
  </si>
  <si>
    <t>- ค่าใช้สอย</t>
  </si>
  <si>
    <t>- ค่าวัสดุ</t>
  </si>
  <si>
    <t>- ค่าสาธารณูปโภค</t>
  </si>
  <si>
    <t>- ค่าครุภัณฑ์</t>
  </si>
  <si>
    <t>- ค่าที่ดินและสิ่งก่อสร้าง</t>
  </si>
  <si>
    <t>- รายจ่ายอื่น</t>
  </si>
  <si>
    <t>- เงินอุดหนุน</t>
  </si>
  <si>
    <t>รวมรายจ่าย</t>
  </si>
  <si>
    <t xml:space="preserve">   รายรับ (ต่ำกว่า)   รายจ่าย</t>
  </si>
  <si>
    <t>ยอดยกไป</t>
  </si>
  <si>
    <t xml:space="preserve">        ลงชื่อ.......................................</t>
  </si>
  <si>
    <t xml:space="preserve">             ลงชื่อ.........................................</t>
  </si>
  <si>
    <t xml:space="preserve">       ลงชื่อ...........................................</t>
  </si>
  <si>
    <t>(นางสาวนัดธิดา  เหลื่อมแก้ว)</t>
  </si>
  <si>
    <t>(นายสุเทพ  สมทรัพย์)</t>
  </si>
  <si>
    <t>(นายวันรัตน์  เกลี้ยงขำ)</t>
  </si>
  <si>
    <t xml:space="preserve"> หัวหน้าส่วนการคลัง</t>
  </si>
  <si>
    <t>ปลัดองค์การบริหารส่วนตำบล</t>
  </si>
  <si>
    <t>นายกองค์การบริหารส่วนตำบลเขาน้อย</t>
  </si>
  <si>
    <t>องค์บริหารส่วนตำบลเขาน้อย</t>
  </si>
  <si>
    <t>ธนาคาร  ธกส. (ออมทรัพย์) สาขาสิชล</t>
  </si>
  <si>
    <t>งบกระทบยอดเงินฝากธนาคาร</t>
  </si>
  <si>
    <t xml:space="preserve">บาท  </t>
  </si>
  <si>
    <t>บวก  เงินฝากระหว่างทาง</t>
  </si>
  <si>
    <t>วันที่ลงบัญชี</t>
  </si>
  <si>
    <t>วันที่ฝากธนาคาร</t>
  </si>
  <si>
    <t>จำนวนเงิน</t>
  </si>
  <si>
    <t>หัก  เช็คจ่ายที่ผู้รับยังไม่นำมาขึ้นเงินกับธนาคาร</t>
  </si>
  <si>
    <t xml:space="preserve">วันที่ </t>
  </si>
  <si>
    <t>เลขที่เช็ค</t>
  </si>
  <si>
    <t>8232823</t>
  </si>
  <si>
    <t>บวก หรือ (หัก) รายการกระทบยอดอื่น ๆ</t>
  </si>
  <si>
    <t>รายละเอียด</t>
  </si>
  <si>
    <t>ผู้จัดทำ</t>
  </si>
  <si>
    <t>ผู้ตรวจสอบ</t>
  </si>
  <si>
    <t xml:space="preserve">             (ลงชื่อ)..........................................</t>
  </si>
  <si>
    <t>(นางสาวธัญรัตน์   นาคสมวงษ์กุล)</t>
  </si>
  <si>
    <t>ตำแหน่ง หัวหน้าส่วนการคลัง</t>
  </si>
  <si>
    <t xml:space="preserve">ยอดยกมา </t>
  </si>
  <si>
    <t>ค่าที่ดินและสิ่งก่อสร้าง</t>
  </si>
  <si>
    <t>เงินอุดหนุนค้างจ่าย</t>
  </si>
  <si>
    <t>1. เงินอุดหนุน - สนับสนุนศูนย์พัฒนาเด็กเล็ก</t>
  </si>
  <si>
    <t>ตำแหน่ง นักวิชาการเงินและบัญชี</t>
  </si>
  <si>
    <t>1.1 เบี้ยยังชีพผู้สูงอายุ</t>
  </si>
  <si>
    <t>1.2 เบี้ยยังชีพคนพิการ</t>
  </si>
  <si>
    <t>2. เงินอุดหนุนระบุวัตถุประสงค์ด้านการศึกษา</t>
  </si>
  <si>
    <t>3. เงินอุดหนุนระบุวัตถุประสงค์อื่น</t>
  </si>
  <si>
    <t>2.1 เงินสนับสนุนทุนการศึกษา  ฯ</t>
  </si>
  <si>
    <t>3.1 ศูนย์พัฒนาครอบครัวในชุมชน</t>
  </si>
  <si>
    <t>2.2 เงินสนับสนุนศูนย์พัฒนาเด็กเล็ก</t>
  </si>
  <si>
    <t xml:space="preserve">                    (ลงชื่อ).................................</t>
  </si>
  <si>
    <t>2.3 เงินสนับสนุนค่าวัสดุการศึกษา</t>
  </si>
  <si>
    <t>วันที่ 31  มีนาคม  2554</t>
  </si>
  <si>
    <t>*****</t>
  </si>
  <si>
    <t xml:space="preserve"> </t>
  </si>
  <si>
    <t>ประจำเดือน มีนาคม  ๒๕๕๕</t>
  </si>
  <si>
    <t>รายรับ  (หมายเหตุประกอบงบทดลอง ๑)</t>
  </si>
  <si>
    <t>ค่าธรรมเนียมการจดทะเบียนพาณิชย์</t>
  </si>
  <si>
    <t>ค่าธรรมเนียมปิด  โปรย  แผ่นตั้งประกาศ ฯ</t>
  </si>
  <si>
    <t>หมวดเงินเดือนและค่าจ้างประจำ</t>
  </si>
  <si>
    <t>เงินอื่น ๆ (ค่าตอบแทนอื่นเป็นกรณีพิเศษฯ)</t>
  </si>
  <si>
    <t>หมวดค่าใช้สอย</t>
  </si>
  <si>
    <t>ค่าจ้างเหมาตัดหญ้าไหล่ทาง</t>
  </si>
  <si>
    <t>ค่าซ่อมแซมเรือพระวัดเขาน้อย,เขาใหญ่</t>
  </si>
  <si>
    <t>โครงการชักพระ - ของรางวัล,น้ำมันเชื้อเพลิง</t>
  </si>
  <si>
    <t>โครงการชักพระ - เครื่องเสียง,อาหาร</t>
  </si>
  <si>
    <t>โครงการชักพระ - ค่าตอบแทน อปพร.</t>
  </si>
  <si>
    <t>หมวดค่าวัสดุ</t>
  </si>
  <si>
    <t>อาหารเสริม (นม)</t>
  </si>
  <si>
    <t>หมวดค่าที่ดินและสิ่งก่อสร้าง</t>
  </si>
  <si>
    <t>โครงการปรับปรุงถนนสายบ้านนางแช้ม  ม.4</t>
  </si>
  <si>
    <t>โครงการปรับปรุงถนน คสล. บ้านตลาดจันทร์ ฯ</t>
  </si>
  <si>
    <t>โครงการปรับปรุงถนนสายสามแยกบ้านนายวัชระฯ</t>
  </si>
  <si>
    <t xml:space="preserve">รายจ่ายค้างจ่ายระหว่างดำเนินการ  </t>
  </si>
  <si>
    <t xml:space="preserve">หมายเหตุ  ๒  ประกอบงบทดลอง  </t>
  </si>
  <si>
    <t xml:space="preserve">หมายเหตุ  ๓  ประกอบงบทดลอง  </t>
  </si>
  <si>
    <t>หมายเหตุ  ๔  ประกอบงบทดลอง</t>
  </si>
  <si>
    <t>หมายเหตุประกอบงบทดลอง  ๕</t>
  </si>
  <si>
    <t>1.3 โครงการก่อสร้างถนน คสล.  ม.2</t>
  </si>
  <si>
    <t>1. เงินอุดหนุนระบุวัตถุประสงค์จากกรมส่งเสริมฯ</t>
  </si>
  <si>
    <t>อำเภอสิชล  จังหวัดนครศรีธรรมราช  ปีงบประมาณ  ๒๕๕๕</t>
  </si>
  <si>
    <t>เงินรับฝาก (หมายเหตุ ๒)</t>
  </si>
  <si>
    <t>เงินอุดหนุนทั่วไประบุวัตถุประสงค์ (หมายเหตุ ๕)</t>
  </si>
  <si>
    <t>- เงินเดือนฝ่ายการเมือง</t>
  </si>
  <si>
    <t>- เงินเดือนฝ่ายประจำ</t>
  </si>
  <si>
    <t>อุดหนุนค้างจ่าย (หมายเหตุ ๔)</t>
  </si>
  <si>
    <t>รายจ่ายค้างจ่ายระหว่างดำเนินการ (หมายเหตุ๓)</t>
  </si>
  <si>
    <t>เงินอุดหนุนทั่วไป  (หมายเหตุ ๕)</t>
  </si>
  <si>
    <t>เลขที่บัญชี  ๓๑๕-๒-๓๖๔๗๙-๙</t>
  </si>
  <si>
    <t xml:space="preserve">ยอดคงเหลือตามรายงานธนาคาร ณ วันที่  ๓๑  มีนาคม  ๒๕๕๔ </t>
  </si>
  <si>
    <t>8237617</t>
  </si>
  <si>
    <t>1247529</t>
  </si>
  <si>
    <t>1247531</t>
  </si>
  <si>
    <t>1248710</t>
  </si>
  <si>
    <t>1248714</t>
  </si>
  <si>
    <t>1248715</t>
  </si>
  <si>
    <t>1248717</t>
  </si>
  <si>
    <t>ยอดคงเหลือตามบัญชี ณ วันที่   ๓๑  มีนาคม  ๒๕๕๕</t>
  </si>
  <si>
    <t>ดอกเบี้ยเงินฝากที่กิจการยังไม่ลงบัญชี</t>
  </si>
  <si>
    <t>เงินฝากระหว่างทาง</t>
  </si>
  <si>
    <t>วันที่ ๓๑  มีนาคม  ๒๕๕๕</t>
  </si>
  <si>
    <t>เลขที่บัญชี  ๓๑๕-๒-๓๘๕๔๕-๘</t>
  </si>
  <si>
    <t>รายได้ค้างรับ (ลูกหนี้ภาษีบำรุงท้องที่)</t>
  </si>
  <si>
    <t>เงินเดือนฝ่ายการเมือง</t>
  </si>
  <si>
    <t>เงินเดือนฝ่ายประจำ</t>
  </si>
  <si>
    <t>เงินรายรับ (หมายเหตุ ๑ )</t>
  </si>
  <si>
    <t>รายจ่ายค้างจ่ายระหว่างดำเนินการ (หมายเหตุ  ๓)</t>
  </si>
  <si>
    <t>เงินอุดหนุนค้างจ่าย  (หมายเหตุ ๔)</t>
  </si>
  <si>
    <t>เงินอุดหนุนทั่วไประบุวัตถุประสงค์  (หมายเหตุ ๕)</t>
  </si>
  <si>
    <t xml:space="preserve">ณ วันที่  ๓๐  เมษายน  ๒๕๕๕  </t>
  </si>
  <si>
    <t>ประจำเดือน เมษายน  ๒๕๕๕</t>
  </si>
  <si>
    <t xml:space="preserve">ยอดคงเหลือตามรายงานธนาคาร ณ วันที่  ๓๐  เมษายน  ๒๕๕๕ </t>
  </si>
  <si>
    <t>ยอดคงเหลือตามบัญชี ณ วันที่   ๓๐  เมษายน  ๒๕๕๕</t>
  </si>
  <si>
    <t>วันที่ ๓๐  เมษายน  ๒๕๕๕</t>
  </si>
  <si>
    <t>1249867</t>
  </si>
  <si>
    <t>1249868</t>
  </si>
  <si>
    <t>1249880</t>
  </si>
  <si>
    <t xml:space="preserve">ณ วันที่  ๓๑  พฤษภาคม  ๒๕๕๕  </t>
  </si>
  <si>
    <t>ประจำเดือน พฤษภาคม  ๒๕๕๕</t>
  </si>
  <si>
    <t xml:space="preserve">ยอดคงเหลือตามรายงานธนาคาร ณ วันที่  ๓๑  พฤษภาคม  ๒๕๕๕ </t>
  </si>
  <si>
    <t>1249910</t>
  </si>
  <si>
    <t>ยอดคงเหลือตามบัญชี ณ วันที่   ๓๑  พฤษภาคม  ๒๕๕๕</t>
  </si>
  <si>
    <t xml:space="preserve">             (ลงชื่อ).......................................</t>
  </si>
  <si>
    <t>วันที่ ๓๑พฤษภาคม ๒๕๕๕</t>
  </si>
  <si>
    <t>วันที่ ๓๑ พฤษภาคม  ๒๕๕๕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</si>
</sst>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[$-F800]dddd\,\ mmmm\ dd\,\ yyyy"/>
    <numFmt numFmtId="189" formatCode="_-* #,##0_-;\-* #,##0_-;_-* &quot;-&quot;??_-;_-@_-"/>
    <numFmt numFmtId="190" formatCode="_-* #,##0.000_-;\-* #,##0.000_-;_-* &quot;-&quot;??_-;_-@_-"/>
    <numFmt numFmtId="191" formatCode="[$-41E]d\ mmmm\ yyyy"/>
  </numFmts>
  <fonts count="30">
    <font>
      <sz val="10"/>
      <name val="Arial"/>
      <family val="0"/>
    </font>
    <font>
      <sz val="16"/>
      <name val="Angsana New"/>
      <family val="1"/>
    </font>
    <font>
      <sz val="16"/>
      <name val="Cordia New"/>
      <family val="0"/>
    </font>
    <font>
      <sz val="14"/>
      <color indexed="8"/>
      <name val="Cordia New"/>
      <family val="2"/>
    </font>
    <font>
      <sz val="8"/>
      <name val="Arial"/>
      <family val="0"/>
    </font>
    <font>
      <sz val="14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u val="doubleAccounting"/>
      <sz val="14"/>
      <color indexed="8"/>
      <name val="TH SarabunPSK"/>
      <family val="2"/>
    </font>
    <font>
      <sz val="16"/>
      <name val="Arial"/>
      <family val="0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u val="singleAccounting"/>
      <sz val="14"/>
      <color indexed="8"/>
      <name val="TH SarabunPSK"/>
      <family val="2"/>
    </font>
    <font>
      <u val="doubleAccounting"/>
      <sz val="14"/>
      <color indexed="8"/>
      <name val="TH SarabunPSK"/>
      <family val="2"/>
    </font>
    <font>
      <u val="single"/>
      <sz val="16"/>
      <name val="TH SarabunPSK"/>
      <family val="2"/>
    </font>
    <font>
      <b/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sz val="15"/>
      <color indexed="8"/>
      <name val="TH SarabunPSK"/>
      <family val="2"/>
    </font>
    <font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3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 quotePrefix="1">
      <alignment horizontal="left"/>
    </xf>
    <xf numFmtId="0" fontId="5" fillId="0" borderId="0" xfId="0" applyFon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3" fontId="7" fillId="0" borderId="0" xfId="15" applyFont="1" applyBorder="1" applyAlignment="1" quotePrefix="1">
      <alignment horizontal="center"/>
    </xf>
    <xf numFmtId="43" fontId="8" fillId="0" borderId="4" xfId="15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1" xfId="15" applyFont="1" applyBorder="1" applyAlignment="1">
      <alignment horizontal="right"/>
    </xf>
    <xf numFmtId="43" fontId="7" fillId="0" borderId="1" xfId="15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43" fontId="7" fillId="0" borderId="8" xfId="15" applyFont="1" applyBorder="1" applyAlignment="1">
      <alignment/>
    </xf>
    <xf numFmtId="43" fontId="8" fillId="0" borderId="9" xfId="15" applyFont="1" applyBorder="1" applyAlignment="1">
      <alignment/>
    </xf>
    <xf numFmtId="43" fontId="8" fillId="0" borderId="7" xfId="15" applyFont="1" applyBorder="1" applyAlignment="1">
      <alignment/>
    </xf>
    <xf numFmtId="43" fontId="7" fillId="0" borderId="0" xfId="15" applyFont="1" applyBorder="1" applyAlignment="1">
      <alignment/>
    </xf>
    <xf numFmtId="43" fontId="9" fillId="0" borderId="10" xfId="15" applyFont="1" applyBorder="1" applyAlignment="1">
      <alignment/>
    </xf>
    <xf numFmtId="43" fontId="9" fillId="0" borderId="11" xfId="15" applyFont="1" applyBorder="1" applyAlignment="1">
      <alignment/>
    </xf>
    <xf numFmtId="43" fontId="0" fillId="0" borderId="0" xfId="15" applyAlignment="1">
      <alignment/>
    </xf>
    <xf numFmtId="43" fontId="10" fillId="0" borderId="0" xfId="15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3" fontId="10" fillId="0" borderId="0" xfId="15" applyFont="1" applyAlignment="1" quotePrefix="1">
      <alignment horizontal="left"/>
    </xf>
    <xf numFmtId="43" fontId="11" fillId="0" borderId="0" xfId="15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15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11" fillId="0" borderId="4" xfId="15" applyFont="1" applyBorder="1" applyAlignment="1">
      <alignment horizontal="center"/>
    </xf>
    <xf numFmtId="43" fontId="11" fillId="0" borderId="9" xfId="15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3" fontId="10" fillId="0" borderId="5" xfId="15" applyFont="1" applyBorder="1" applyAlignment="1">
      <alignment/>
    </xf>
    <xf numFmtId="0" fontId="10" fillId="0" borderId="4" xfId="0" applyFont="1" applyBorder="1" applyAlignment="1">
      <alignment horizontal="center"/>
    </xf>
    <xf numFmtId="43" fontId="10" fillId="0" borderId="4" xfId="15" applyFont="1" applyBorder="1" applyAlignment="1">
      <alignment/>
    </xf>
    <xf numFmtId="0" fontId="12" fillId="0" borderId="0" xfId="0" applyFont="1" applyAlignment="1">
      <alignment/>
    </xf>
    <xf numFmtId="43" fontId="11" fillId="0" borderId="4" xfId="15" applyFont="1" applyBorder="1" applyAlignment="1">
      <alignment/>
    </xf>
    <xf numFmtId="43" fontId="11" fillId="0" borderId="5" xfId="15" applyFont="1" applyBorder="1" applyAlignment="1">
      <alignment/>
    </xf>
    <xf numFmtId="0" fontId="11" fillId="0" borderId="0" xfId="0" applyFont="1" applyAlignment="1" quotePrefix="1">
      <alignment/>
    </xf>
    <xf numFmtId="0" fontId="11" fillId="0" borderId="4" xfId="0" applyFont="1" applyBorder="1" applyAlignment="1" quotePrefix="1">
      <alignment horizontal="center"/>
    </xf>
    <xf numFmtId="0" fontId="13" fillId="0" borderId="0" xfId="0" applyFont="1" applyAlignment="1" quotePrefix="1">
      <alignment/>
    </xf>
    <xf numFmtId="43" fontId="11" fillId="0" borderId="4" xfId="15" applyFont="1" applyBorder="1" applyAlignment="1" quotePrefix="1">
      <alignment horizontal="center"/>
    </xf>
    <xf numFmtId="43" fontId="11" fillId="0" borderId="9" xfId="15" applyFont="1" applyBorder="1" applyAlignment="1" quotePrefix="1">
      <alignment horizontal="center"/>
    </xf>
    <xf numFmtId="43" fontId="10" fillId="0" borderId="10" xfId="15" applyFont="1" applyBorder="1" applyAlignment="1">
      <alignment/>
    </xf>
    <xf numFmtId="43" fontId="11" fillId="0" borderId="0" xfId="15" applyFont="1" applyBorder="1" applyAlignment="1">
      <alignment/>
    </xf>
    <xf numFmtId="43" fontId="10" fillId="0" borderId="3" xfId="15" applyFont="1" applyBorder="1" applyAlignment="1">
      <alignment/>
    </xf>
    <xf numFmtId="43" fontId="10" fillId="0" borderId="0" xfId="15" applyFont="1" applyBorder="1" applyAlignment="1">
      <alignment/>
    </xf>
    <xf numFmtId="0" fontId="10" fillId="0" borderId="9" xfId="0" applyFont="1" applyBorder="1" applyAlignment="1">
      <alignment horizontal="center"/>
    </xf>
    <xf numFmtId="43" fontId="14" fillId="0" borderId="10" xfId="15" applyFont="1" applyBorder="1" applyAlignment="1">
      <alignment/>
    </xf>
    <xf numFmtId="43" fontId="13" fillId="0" borderId="4" xfId="15" applyFont="1" applyBorder="1" applyAlignment="1">
      <alignment/>
    </xf>
    <xf numFmtId="43" fontId="15" fillId="0" borderId="10" xfId="15" applyFont="1" applyBorder="1" applyAlignment="1">
      <alignment/>
    </xf>
    <xf numFmtId="43" fontId="15" fillId="0" borderId="3" xfId="15" applyFont="1" applyBorder="1" applyAlignment="1">
      <alignment/>
    </xf>
    <xf numFmtId="43" fontId="16" fillId="0" borderId="3" xfId="15" applyFont="1" applyBorder="1" applyAlignment="1">
      <alignment/>
    </xf>
    <xf numFmtId="0" fontId="11" fillId="0" borderId="12" xfId="0" applyFont="1" applyBorder="1" applyAlignment="1">
      <alignment horizontal="center"/>
    </xf>
    <xf numFmtId="43" fontId="11" fillId="0" borderId="0" xfId="15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43" fontId="11" fillId="0" borderId="10" xfId="15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3" fontId="10" fillId="0" borderId="14" xfId="15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3" fontId="10" fillId="0" borderId="9" xfId="15" applyFont="1" applyBorder="1" applyAlignment="1">
      <alignment horizontal="center"/>
    </xf>
    <xf numFmtId="0" fontId="7" fillId="0" borderId="1" xfId="0" applyFont="1" applyBorder="1" applyAlignment="1">
      <alignment/>
    </xf>
    <xf numFmtId="43" fontId="7" fillId="0" borderId="4" xfId="15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6" xfId="0" applyFont="1" applyBorder="1" applyAlignment="1">
      <alignment/>
    </xf>
    <xf numFmtId="187" fontId="7" fillId="0" borderId="3" xfId="0" applyNumberFormat="1" applyFont="1" applyBorder="1" applyAlignment="1">
      <alignment/>
    </xf>
    <xf numFmtId="43" fontId="7" fillId="0" borderId="3" xfId="15" applyFont="1" applyBorder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7" fillId="0" borderId="4" xfId="15" applyFont="1" applyBorder="1" applyAlignment="1">
      <alignment horizontal="center"/>
    </xf>
    <xf numFmtId="43" fontId="7" fillId="0" borderId="4" xfId="15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43" fontId="7" fillId="0" borderId="9" xfId="15" applyFont="1" applyBorder="1" applyAlignment="1">
      <alignment/>
    </xf>
    <xf numFmtId="43" fontId="7" fillId="0" borderId="7" xfId="15" applyFont="1" applyBorder="1" applyAlignment="1">
      <alignment/>
    </xf>
    <xf numFmtId="43" fontId="6" fillId="0" borderId="17" xfId="15" applyFont="1" applyBorder="1" applyAlignment="1">
      <alignment/>
    </xf>
    <xf numFmtId="43" fontId="6" fillId="0" borderId="10" xfId="15" applyFont="1" applyBorder="1" applyAlignment="1">
      <alignment/>
    </xf>
    <xf numFmtId="43" fontId="6" fillId="0" borderId="18" xfId="15" applyFont="1" applyBorder="1" applyAlignment="1">
      <alignment/>
    </xf>
    <xf numFmtId="43" fontId="6" fillId="0" borderId="11" xfId="15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43" fontId="8" fillId="0" borderId="0" xfId="15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87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6" xfId="0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2" xfId="15" applyFont="1" applyBorder="1" applyAlignment="1">
      <alignment/>
    </xf>
    <xf numFmtId="43" fontId="9" fillId="0" borderId="17" xfId="0" applyNumberFormat="1" applyFont="1" applyBorder="1" applyAlignment="1">
      <alignment/>
    </xf>
    <xf numFmtId="43" fontId="9" fillId="0" borderId="10" xfId="0" applyNumberFormat="1" applyFont="1" applyBorder="1" applyAlignment="1">
      <alignment/>
    </xf>
    <xf numFmtId="43" fontId="8" fillId="0" borderId="16" xfId="15" applyFont="1" applyBorder="1" applyAlignment="1">
      <alignment/>
    </xf>
    <xf numFmtId="43" fontId="8" fillId="0" borderId="15" xfId="15" applyFont="1" applyBorder="1" applyAlignment="1">
      <alignment/>
    </xf>
    <xf numFmtId="43" fontId="8" fillId="0" borderId="8" xfId="15" applyFont="1" applyBorder="1" applyAlignment="1">
      <alignment/>
    </xf>
    <xf numFmtId="0" fontId="19" fillId="0" borderId="15" xfId="0" applyFont="1" applyBorder="1" applyAlignment="1">
      <alignment/>
    </xf>
    <xf numFmtId="43" fontId="9" fillId="0" borderId="19" xfId="15" applyFont="1" applyBorder="1" applyAlignment="1">
      <alignment/>
    </xf>
    <xf numFmtId="43" fontId="13" fillId="0" borderId="14" xfId="15" applyFont="1" applyBorder="1" applyAlignment="1">
      <alignment/>
    </xf>
    <xf numFmtId="43" fontId="16" fillId="0" borderId="20" xfId="15" applyFont="1" applyBorder="1" applyAlignment="1">
      <alignment/>
    </xf>
    <xf numFmtId="0" fontId="11" fillId="0" borderId="13" xfId="0" applyFont="1" applyBorder="1" applyAlignment="1">
      <alignment horizontal="center"/>
    </xf>
    <xf numFmtId="43" fontId="11" fillId="0" borderId="14" xfId="15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5" xfId="0" applyFont="1" applyBorder="1" applyAlignment="1" quotePrefix="1">
      <alignment/>
    </xf>
    <xf numFmtId="0" fontId="11" fillId="0" borderId="1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5" xfId="0" applyFont="1" applyBorder="1" applyAlignment="1">
      <alignment/>
    </xf>
    <xf numFmtId="43" fontId="11" fillId="0" borderId="5" xfId="0" applyNumberFormat="1" applyFont="1" applyBorder="1" applyAlignment="1">
      <alignment/>
    </xf>
    <xf numFmtId="43" fontId="11" fillId="0" borderId="1" xfId="0" applyNumberFormat="1" applyFont="1" applyBorder="1" applyAlignment="1">
      <alignment/>
    </xf>
    <xf numFmtId="43" fontId="10" fillId="0" borderId="5" xfId="0" applyNumberFormat="1" applyFont="1" applyBorder="1" applyAlignment="1">
      <alignment/>
    </xf>
    <xf numFmtId="4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20" fillId="0" borderId="3" xfId="15" applyFont="1" applyBorder="1" applyAlignment="1">
      <alignment/>
    </xf>
    <xf numFmtId="43" fontId="16" fillId="0" borderId="0" xfId="15" applyFont="1" applyAlignment="1">
      <alignment/>
    </xf>
    <xf numFmtId="43" fontId="13" fillId="0" borderId="4" xfId="15" applyFont="1" applyBorder="1" applyAlignment="1" quotePrefix="1">
      <alignment horizontal="right"/>
    </xf>
    <xf numFmtId="43" fontId="13" fillId="0" borderId="0" xfId="15" applyFont="1" applyAlignment="1" quotePrefix="1">
      <alignment horizontal="right"/>
    </xf>
    <xf numFmtId="43" fontId="21" fillId="0" borderId="10" xfId="15" applyFont="1" applyBorder="1" applyAlignment="1">
      <alignment/>
    </xf>
    <xf numFmtId="0" fontId="6" fillId="0" borderId="12" xfId="0" applyFont="1" applyBorder="1" applyAlignment="1">
      <alignment/>
    </xf>
    <xf numFmtId="43" fontId="6" fillId="0" borderId="13" xfId="15" applyFont="1" applyBorder="1" applyAlignment="1">
      <alignment/>
    </xf>
    <xf numFmtId="43" fontId="6" fillId="0" borderId="21" xfId="15" applyFont="1" applyBorder="1" applyAlignment="1">
      <alignment/>
    </xf>
    <xf numFmtId="43" fontId="6" fillId="0" borderId="21" xfId="15" applyFont="1" applyBorder="1" applyAlignment="1">
      <alignment/>
    </xf>
    <xf numFmtId="0" fontId="6" fillId="0" borderId="6" xfId="0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8" xfId="15" applyFont="1" applyBorder="1" applyAlignment="1">
      <alignment/>
    </xf>
    <xf numFmtId="43" fontId="6" fillId="0" borderId="8" xfId="15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3" xfId="15" applyFont="1" applyBorder="1" applyAlignment="1">
      <alignment/>
    </xf>
    <xf numFmtId="43" fontId="7" fillId="0" borderId="13" xfId="15" applyFont="1" applyBorder="1" applyAlignment="1">
      <alignment/>
    </xf>
    <xf numFmtId="0" fontId="7" fillId="0" borderId="21" xfId="0" applyFont="1" applyBorder="1" applyAlignment="1">
      <alignment/>
    </xf>
    <xf numFmtId="43" fontId="6" fillId="0" borderId="1" xfId="15" applyFont="1" applyBorder="1" applyAlignment="1">
      <alignment horizontal="center"/>
    </xf>
    <xf numFmtId="43" fontId="7" fillId="0" borderId="0" xfId="15" applyFont="1" applyBorder="1" applyAlignment="1">
      <alignment/>
    </xf>
    <xf numFmtId="0" fontId="6" fillId="0" borderId="5" xfId="0" applyFont="1" applyBorder="1" applyAlignment="1" quotePrefix="1">
      <alignment horizontal="left"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center"/>
    </xf>
    <xf numFmtId="0" fontId="6" fillId="0" borderId="1" xfId="0" applyFont="1" applyBorder="1" applyAlignment="1">
      <alignment/>
    </xf>
    <xf numFmtId="43" fontId="6" fillId="0" borderId="1" xfId="15" applyFont="1" applyBorder="1" applyAlignment="1">
      <alignment/>
    </xf>
    <xf numFmtId="0" fontId="22" fillId="0" borderId="5" xfId="0" applyFont="1" applyBorder="1" applyAlignment="1">
      <alignment horizontal="center"/>
    </xf>
    <xf numFmtId="43" fontId="22" fillId="0" borderId="0" xfId="15" applyFont="1" applyBorder="1" applyAlignment="1">
      <alignment horizontal="center"/>
    </xf>
    <xf numFmtId="43" fontId="22" fillId="0" borderId="0" xfId="15" applyFont="1" applyBorder="1" applyAlignment="1">
      <alignment/>
    </xf>
    <xf numFmtId="0" fontId="22" fillId="0" borderId="1" xfId="0" applyFont="1" applyBorder="1" applyAlignment="1">
      <alignment horizontal="center"/>
    </xf>
    <xf numFmtId="43" fontId="22" fillId="0" borderId="1" xfId="15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center"/>
    </xf>
    <xf numFmtId="188" fontId="7" fillId="0" borderId="0" xfId="15" applyNumberFormat="1" applyFont="1" applyBorder="1" applyAlignment="1">
      <alignment horizontal="center"/>
    </xf>
    <xf numFmtId="189" fontId="7" fillId="0" borderId="0" xfId="15" applyNumberFormat="1" applyFont="1" applyBorder="1" applyAlignment="1" quotePrefix="1">
      <alignment horizontal="center"/>
    </xf>
    <xf numFmtId="43" fontId="23" fillId="0" borderId="1" xfId="15" applyFont="1" applyBorder="1" applyAlignment="1">
      <alignment/>
    </xf>
    <xf numFmtId="43" fontId="23" fillId="0" borderId="4" xfId="15" applyFont="1" applyBorder="1" applyAlignment="1">
      <alignment/>
    </xf>
    <xf numFmtId="15" fontId="7" fillId="0" borderId="0" xfId="15" applyNumberFormat="1" applyFont="1" applyBorder="1" applyAlignment="1">
      <alignment horizontal="center"/>
    </xf>
    <xf numFmtId="190" fontId="7" fillId="0" borderId="0" xfId="15" applyNumberFormat="1" applyFont="1" applyBorder="1" applyAlignment="1" quotePrefix="1">
      <alignment horizontal="center"/>
    </xf>
    <xf numFmtId="15" fontId="7" fillId="0" borderId="5" xfId="0" applyNumberFormat="1" applyFont="1" applyBorder="1" applyAlignment="1">
      <alignment/>
    </xf>
    <xf numFmtId="0" fontId="6" fillId="0" borderId="6" xfId="0" applyFont="1" applyBorder="1" applyAlignment="1" quotePrefix="1">
      <alignment horizontal="left"/>
    </xf>
    <xf numFmtId="43" fontId="6" fillId="0" borderId="7" xfId="15" applyFont="1" applyBorder="1" applyAlignment="1">
      <alignment horizontal="left"/>
    </xf>
    <xf numFmtId="43" fontId="6" fillId="0" borderId="7" xfId="15" applyFont="1" applyBorder="1" applyAlignment="1">
      <alignment/>
    </xf>
    <xf numFmtId="0" fontId="6" fillId="0" borderId="8" xfId="0" applyFont="1" applyBorder="1" applyAlignment="1">
      <alignment/>
    </xf>
    <xf numFmtId="43" fontId="24" fillId="0" borderId="11" xfId="15" applyFont="1" applyBorder="1" applyAlignment="1">
      <alignment/>
    </xf>
    <xf numFmtId="0" fontId="22" fillId="0" borderId="1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15" fontId="7" fillId="0" borderId="0" xfId="15" applyNumberFormat="1" applyFont="1" applyBorder="1" applyAlignment="1">
      <alignment/>
    </xf>
    <xf numFmtId="188" fontId="7" fillId="0" borderId="0" xfId="15" applyNumberFormat="1" applyFont="1" applyBorder="1" applyAlignment="1">
      <alignment horizontal="left"/>
    </xf>
    <xf numFmtId="15" fontId="19" fillId="0" borderId="0" xfId="15" applyNumberFormat="1" applyFont="1" applyBorder="1" applyAlignment="1">
      <alignment/>
    </xf>
    <xf numFmtId="43" fontId="8" fillId="2" borderId="3" xfId="15" applyFont="1" applyFill="1" applyBorder="1" applyAlignment="1">
      <alignment/>
    </xf>
    <xf numFmtId="43" fontId="6" fillId="2" borderId="10" xfId="15" applyFont="1" applyFill="1" applyBorder="1" applyAlignment="1">
      <alignment/>
    </xf>
    <xf numFmtId="43" fontId="8" fillId="2" borderId="22" xfId="15" applyFont="1" applyFill="1" applyBorder="1" applyAlignment="1">
      <alignment/>
    </xf>
    <xf numFmtId="43" fontId="7" fillId="0" borderId="0" xfId="0" applyNumberFormat="1" applyFont="1" applyAlignment="1">
      <alignment/>
    </xf>
    <xf numFmtId="43" fontId="0" fillId="0" borderId="0" xfId="15" applyAlignment="1">
      <alignment/>
    </xf>
    <xf numFmtId="0" fontId="25" fillId="0" borderId="5" xfId="0" applyFont="1" applyBorder="1" applyAlignment="1">
      <alignment/>
    </xf>
    <xf numFmtId="188" fontId="8" fillId="0" borderId="0" xfId="15" applyNumberFormat="1" applyFont="1" applyBorder="1" applyAlignment="1">
      <alignment horizontal="center"/>
    </xf>
    <xf numFmtId="189" fontId="8" fillId="0" borderId="0" xfId="15" applyNumberFormat="1" applyFont="1" applyBorder="1" applyAlignment="1" quotePrefix="1">
      <alignment horizontal="center"/>
    </xf>
    <xf numFmtId="43" fontId="8" fillId="0" borderId="1" xfId="15" applyFont="1" applyBorder="1" applyAlignment="1">
      <alignment horizontal="center"/>
    </xf>
    <xf numFmtId="188" fontId="8" fillId="0" borderId="0" xfId="15" applyNumberFormat="1" applyFont="1" applyBorder="1" applyAlignment="1">
      <alignment horizontal="left"/>
    </xf>
    <xf numFmtId="43" fontId="8" fillId="0" borderId="0" xfId="15" applyFont="1" applyBorder="1" applyAlignment="1">
      <alignment horizontal="center"/>
    </xf>
    <xf numFmtId="0" fontId="9" fillId="0" borderId="6" xfId="0" applyFont="1" applyBorder="1" applyAlignment="1" quotePrefix="1">
      <alignment horizontal="left"/>
    </xf>
    <xf numFmtId="0" fontId="8" fillId="0" borderId="1" xfId="0" applyFont="1" applyBorder="1" applyAlignment="1">
      <alignment horizontal="center"/>
    </xf>
    <xf numFmtId="43" fontId="26" fillId="0" borderId="0" xfId="15" applyFont="1" applyBorder="1" applyAlignment="1">
      <alignment horizontal="center"/>
    </xf>
    <xf numFmtId="43" fontId="26" fillId="0" borderId="0" xfId="15" applyFont="1" applyBorder="1" applyAlignment="1">
      <alignment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12" xfId="0" applyFont="1" applyBorder="1" applyAlignment="1">
      <alignment/>
    </xf>
    <xf numFmtId="43" fontId="9" fillId="0" borderId="13" xfId="15" applyFont="1" applyBorder="1" applyAlignment="1">
      <alignment/>
    </xf>
    <xf numFmtId="43" fontId="9" fillId="0" borderId="21" xfId="15" applyFont="1" applyBorder="1" applyAlignment="1">
      <alignment/>
    </xf>
    <xf numFmtId="43" fontId="9" fillId="0" borderId="21" xfId="15" applyFont="1" applyBorder="1" applyAlignment="1">
      <alignment/>
    </xf>
    <xf numFmtId="0" fontId="9" fillId="0" borderId="6" xfId="0" applyFont="1" applyBorder="1" applyAlignment="1">
      <alignment/>
    </xf>
    <xf numFmtId="43" fontId="9" fillId="0" borderId="7" xfId="15" applyFont="1" applyBorder="1" applyAlignment="1">
      <alignment/>
    </xf>
    <xf numFmtId="43" fontId="9" fillId="0" borderId="8" xfId="15" applyFont="1" applyBorder="1" applyAlignment="1">
      <alignment/>
    </xf>
    <xf numFmtId="43" fontId="9" fillId="0" borderId="8" xfId="15" applyFont="1" applyBorder="1" applyAlignment="1">
      <alignment/>
    </xf>
    <xf numFmtId="0" fontId="9" fillId="0" borderId="5" xfId="0" applyFont="1" applyBorder="1" applyAlignment="1" quotePrefix="1">
      <alignment horizontal="left"/>
    </xf>
    <xf numFmtId="43" fontId="9" fillId="0" borderId="0" xfId="15" applyFont="1" applyBorder="1" applyAlignment="1">
      <alignment/>
    </xf>
    <xf numFmtId="43" fontId="9" fillId="0" borderId="0" xfId="15" applyFont="1" applyBorder="1" applyAlignment="1">
      <alignment horizontal="center"/>
    </xf>
    <xf numFmtId="0" fontId="9" fillId="0" borderId="1" xfId="0" applyFont="1" applyBorder="1" applyAlignment="1">
      <alignment/>
    </xf>
    <xf numFmtId="43" fontId="9" fillId="0" borderId="1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/>
    </xf>
    <xf numFmtId="0" fontId="26" fillId="0" borderId="1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43" fontId="27" fillId="0" borderId="4" xfId="15" applyFont="1" applyBorder="1" applyAlignment="1">
      <alignment/>
    </xf>
    <xf numFmtId="43" fontId="8" fillId="0" borderId="1" xfId="15" applyFont="1" applyBorder="1" applyAlignment="1">
      <alignment/>
    </xf>
    <xf numFmtId="43" fontId="28" fillId="0" borderId="11" xfId="15" applyFont="1" applyBorder="1" applyAlignment="1">
      <alignment/>
    </xf>
    <xf numFmtId="0" fontId="8" fillId="0" borderId="1" xfId="0" applyFont="1" applyBorder="1" applyAlignment="1" quotePrefix="1">
      <alignment horizontal="center"/>
    </xf>
    <xf numFmtId="43" fontId="9" fillId="0" borderId="1" xfId="15" applyFont="1" applyBorder="1" applyAlignment="1">
      <alignment horizontal="center"/>
    </xf>
    <xf numFmtId="43" fontId="6" fillId="0" borderId="10" xfId="15" applyFont="1" applyFill="1" applyBorder="1" applyAlignment="1">
      <alignment/>
    </xf>
    <xf numFmtId="43" fontId="6" fillId="2" borderId="22" xfId="15" applyFont="1" applyFill="1" applyBorder="1" applyAlignment="1">
      <alignment/>
    </xf>
    <xf numFmtId="0" fontId="10" fillId="0" borderId="1" xfId="0" applyFont="1" applyBorder="1" applyAlignment="1">
      <alignment horizontal="center"/>
    </xf>
    <xf numFmtId="43" fontId="11" fillId="0" borderId="12" xfId="15" applyFont="1" applyBorder="1" applyAlignment="1">
      <alignment horizontal="center"/>
    </xf>
    <xf numFmtId="43" fontId="11" fillId="0" borderId="21" xfId="15" applyFont="1" applyBorder="1" applyAlignment="1">
      <alignment horizontal="center"/>
    </xf>
    <xf numFmtId="43" fontId="11" fillId="0" borderId="0" xfId="15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3" fontId="11" fillId="0" borderId="15" xfId="15" applyFont="1" applyBorder="1" applyAlignment="1">
      <alignment horizontal="center"/>
    </xf>
    <xf numFmtId="43" fontId="11" fillId="0" borderId="16" xfId="15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11" fillId="0" borderId="0" xfId="15" applyFont="1" applyAlignment="1" quotePrefix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29" fillId="0" borderId="1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0</xdr:row>
      <xdr:rowOff>0</xdr:rowOff>
    </xdr:from>
    <xdr:to>
      <xdr:col>3</xdr:col>
      <xdr:colOff>933450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0</xdr:row>
      <xdr:rowOff>0</xdr:rowOff>
    </xdr:from>
    <xdr:to>
      <xdr:col>3</xdr:col>
      <xdr:colOff>942975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0</xdr:row>
      <xdr:rowOff>0</xdr:rowOff>
    </xdr:from>
    <xdr:to>
      <xdr:col>3</xdr:col>
      <xdr:colOff>942975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0</xdr:row>
      <xdr:rowOff>0</xdr:rowOff>
    </xdr:from>
    <xdr:to>
      <xdr:col>3</xdr:col>
      <xdr:colOff>942975</xdr:colOff>
      <xdr:row>0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6315075" y="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5</xdr:row>
      <xdr:rowOff>219075</xdr:rowOff>
    </xdr:from>
    <xdr:to>
      <xdr:col>2</xdr:col>
      <xdr:colOff>800100</xdr:colOff>
      <xdr:row>30</xdr:row>
      <xdr:rowOff>200025</xdr:rowOff>
    </xdr:to>
    <xdr:sp>
      <xdr:nvSpPr>
        <xdr:cNvPr id="15" name="Line 15"/>
        <xdr:cNvSpPr>
          <a:spLocks/>
        </xdr:cNvSpPr>
      </xdr:nvSpPr>
      <xdr:spPr>
        <a:xfrm flipH="1">
          <a:off x="5143500" y="1447800"/>
          <a:ext cx="0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5</xdr:row>
      <xdr:rowOff>228600</xdr:rowOff>
    </xdr:from>
    <xdr:to>
      <xdr:col>3</xdr:col>
      <xdr:colOff>933450</xdr:colOff>
      <xdr:row>30</xdr:row>
      <xdr:rowOff>209550</xdr:rowOff>
    </xdr:to>
    <xdr:sp>
      <xdr:nvSpPr>
        <xdr:cNvPr id="16" name="Line 16"/>
        <xdr:cNvSpPr>
          <a:spLocks/>
        </xdr:cNvSpPr>
      </xdr:nvSpPr>
      <xdr:spPr>
        <a:xfrm flipV="1">
          <a:off x="6305550" y="1457325"/>
          <a:ext cx="0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34</xdr:row>
      <xdr:rowOff>0</xdr:rowOff>
    </xdr:from>
    <xdr:to>
      <xdr:col>2</xdr:col>
      <xdr:colOff>800100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1435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34</xdr:row>
      <xdr:rowOff>0</xdr:rowOff>
    </xdr:from>
    <xdr:to>
      <xdr:col>3</xdr:col>
      <xdr:colOff>933450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30555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0</xdr:row>
      <xdr:rowOff>0</xdr:rowOff>
    </xdr:from>
    <xdr:to>
      <xdr:col>3</xdr:col>
      <xdr:colOff>933450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0</xdr:row>
      <xdr:rowOff>0</xdr:rowOff>
    </xdr:from>
    <xdr:to>
      <xdr:col>3</xdr:col>
      <xdr:colOff>942975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0</xdr:row>
      <xdr:rowOff>0</xdr:rowOff>
    </xdr:from>
    <xdr:to>
      <xdr:col>3</xdr:col>
      <xdr:colOff>942975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0</xdr:row>
      <xdr:rowOff>0</xdr:rowOff>
    </xdr:from>
    <xdr:to>
      <xdr:col>3</xdr:col>
      <xdr:colOff>942975</xdr:colOff>
      <xdr:row>0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6315075" y="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238125</xdr:rowOff>
    </xdr:from>
    <xdr:to>
      <xdr:col>2</xdr:col>
      <xdr:colOff>790575</xdr:colOff>
      <xdr:row>31</xdr:row>
      <xdr:rowOff>219075</xdr:rowOff>
    </xdr:to>
    <xdr:sp>
      <xdr:nvSpPr>
        <xdr:cNvPr id="15" name="Line 15"/>
        <xdr:cNvSpPr>
          <a:spLocks/>
        </xdr:cNvSpPr>
      </xdr:nvSpPr>
      <xdr:spPr>
        <a:xfrm flipH="1">
          <a:off x="5133975" y="1466850"/>
          <a:ext cx="0" cy="691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6</xdr:row>
      <xdr:rowOff>9525</xdr:rowOff>
    </xdr:from>
    <xdr:to>
      <xdr:col>3</xdr:col>
      <xdr:colOff>933450</xdr:colOff>
      <xdr:row>31</xdr:row>
      <xdr:rowOff>257175</xdr:rowOff>
    </xdr:to>
    <xdr:sp>
      <xdr:nvSpPr>
        <xdr:cNvPr id="16" name="Line 16"/>
        <xdr:cNvSpPr>
          <a:spLocks/>
        </xdr:cNvSpPr>
      </xdr:nvSpPr>
      <xdr:spPr>
        <a:xfrm flipV="1">
          <a:off x="6305550" y="1504950"/>
          <a:ext cx="0" cy="691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35</xdr:row>
      <xdr:rowOff>0</xdr:rowOff>
    </xdr:from>
    <xdr:to>
      <xdr:col>2</xdr:col>
      <xdr:colOff>800100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143500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35</xdr:row>
      <xdr:rowOff>0</xdr:rowOff>
    </xdr:from>
    <xdr:to>
      <xdr:col>3</xdr:col>
      <xdr:colOff>933450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305550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8</xdr:row>
      <xdr:rowOff>47625</xdr:rowOff>
    </xdr:from>
    <xdr:to>
      <xdr:col>10</xdr:col>
      <xdr:colOff>47625</xdr:colOff>
      <xdr:row>26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9001125" y="2409825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8</xdr:row>
      <xdr:rowOff>57150</xdr:rowOff>
    </xdr:from>
    <xdr:to>
      <xdr:col>9</xdr:col>
      <xdr:colOff>190500</xdr:colOff>
      <xdr:row>27</xdr:row>
      <xdr:rowOff>57150</xdr:rowOff>
    </xdr:to>
    <xdr:sp>
      <xdr:nvSpPr>
        <xdr:cNvPr id="2" name="Line 2"/>
        <xdr:cNvSpPr>
          <a:spLocks/>
        </xdr:cNvSpPr>
      </xdr:nvSpPr>
      <xdr:spPr>
        <a:xfrm>
          <a:off x="8534400" y="2419350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7</xdr:row>
      <xdr:rowOff>285750</xdr:rowOff>
    </xdr:from>
    <xdr:to>
      <xdr:col>8</xdr:col>
      <xdr:colOff>685800</xdr:colOff>
      <xdr:row>26</xdr:row>
      <xdr:rowOff>295275</xdr:rowOff>
    </xdr:to>
    <xdr:sp>
      <xdr:nvSpPr>
        <xdr:cNvPr id="3" name="Line 3"/>
        <xdr:cNvSpPr>
          <a:spLocks/>
        </xdr:cNvSpPr>
      </xdr:nvSpPr>
      <xdr:spPr>
        <a:xfrm>
          <a:off x="8105775" y="2352675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8</xdr:row>
      <xdr:rowOff>47625</xdr:rowOff>
    </xdr:from>
    <xdr:to>
      <xdr:col>10</xdr:col>
      <xdr:colOff>47625</xdr:colOff>
      <xdr:row>26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9001125" y="2409825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8</xdr:row>
      <xdr:rowOff>57150</xdr:rowOff>
    </xdr:from>
    <xdr:to>
      <xdr:col>9</xdr:col>
      <xdr:colOff>190500</xdr:colOff>
      <xdr:row>27</xdr:row>
      <xdr:rowOff>57150</xdr:rowOff>
    </xdr:to>
    <xdr:sp>
      <xdr:nvSpPr>
        <xdr:cNvPr id="2" name="Line 2"/>
        <xdr:cNvSpPr>
          <a:spLocks/>
        </xdr:cNvSpPr>
      </xdr:nvSpPr>
      <xdr:spPr>
        <a:xfrm>
          <a:off x="8534400" y="2419350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7</xdr:row>
      <xdr:rowOff>285750</xdr:rowOff>
    </xdr:from>
    <xdr:to>
      <xdr:col>8</xdr:col>
      <xdr:colOff>685800</xdr:colOff>
      <xdr:row>26</xdr:row>
      <xdr:rowOff>295275</xdr:rowOff>
    </xdr:to>
    <xdr:sp>
      <xdr:nvSpPr>
        <xdr:cNvPr id="3" name="Line 3"/>
        <xdr:cNvSpPr>
          <a:spLocks/>
        </xdr:cNvSpPr>
      </xdr:nvSpPr>
      <xdr:spPr>
        <a:xfrm>
          <a:off x="8105775" y="2352675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85725</xdr:rowOff>
    </xdr:from>
    <xdr:to>
      <xdr:col>10</xdr:col>
      <xdr:colOff>28575</xdr:colOff>
      <xdr:row>27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048750" y="971550"/>
          <a:ext cx="9525" cy="704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9525</xdr:rowOff>
    </xdr:from>
    <xdr:to>
      <xdr:col>9</xdr:col>
      <xdr:colOff>285750</xdr:colOff>
      <xdr:row>30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8696325" y="895350"/>
          <a:ext cx="9525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219075</xdr:rowOff>
    </xdr:from>
    <xdr:to>
      <xdr:col>9</xdr:col>
      <xdr:colOff>38100</xdr:colOff>
      <xdr:row>29</xdr:row>
      <xdr:rowOff>276225</xdr:rowOff>
    </xdr:to>
    <xdr:sp>
      <xdr:nvSpPr>
        <xdr:cNvPr id="3" name="Line 3"/>
        <xdr:cNvSpPr>
          <a:spLocks/>
        </xdr:cNvSpPr>
      </xdr:nvSpPr>
      <xdr:spPr>
        <a:xfrm flipH="1" flipV="1">
          <a:off x="8458200" y="809625"/>
          <a:ext cx="0" cy="804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85725</xdr:rowOff>
    </xdr:from>
    <xdr:to>
      <xdr:col>10</xdr:col>
      <xdr:colOff>28575</xdr:colOff>
      <xdr:row>27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020175" y="971550"/>
          <a:ext cx="9525" cy="704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9525</xdr:rowOff>
    </xdr:from>
    <xdr:to>
      <xdr:col>9</xdr:col>
      <xdr:colOff>285750</xdr:colOff>
      <xdr:row>30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8667750" y="895350"/>
          <a:ext cx="9525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219075</xdr:rowOff>
    </xdr:from>
    <xdr:to>
      <xdr:col>9</xdr:col>
      <xdr:colOff>38100</xdr:colOff>
      <xdr:row>29</xdr:row>
      <xdr:rowOff>276225</xdr:rowOff>
    </xdr:to>
    <xdr:sp>
      <xdr:nvSpPr>
        <xdr:cNvPr id="3" name="Line 3"/>
        <xdr:cNvSpPr>
          <a:spLocks/>
        </xdr:cNvSpPr>
      </xdr:nvSpPr>
      <xdr:spPr>
        <a:xfrm flipH="1" flipV="1">
          <a:off x="8429625" y="809625"/>
          <a:ext cx="0" cy="804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9">
      <selection activeCell="D29" sqref="D29"/>
    </sheetView>
  </sheetViews>
  <sheetFormatPr defaultColWidth="9.140625" defaultRowHeight="12.75"/>
  <cols>
    <col min="1" max="1" width="57.28125" style="0" customWidth="1"/>
    <col min="2" max="2" width="7.8515625" style="0" customWidth="1"/>
    <col min="3" max="3" width="15.421875" style="0" customWidth="1"/>
    <col min="4" max="4" width="17.421875" style="0" customWidth="1"/>
    <col min="7" max="7" width="14.00390625" style="0" bestFit="1" customWidth="1"/>
  </cols>
  <sheetData>
    <row r="2" spans="1:4" ht="21">
      <c r="A2" s="249" t="s">
        <v>0</v>
      </c>
      <c r="B2" s="249"/>
      <c r="C2" s="249"/>
      <c r="D2" s="249"/>
    </row>
    <row r="3" spans="1:4" ht="21">
      <c r="A3" s="249" t="s">
        <v>1</v>
      </c>
      <c r="B3" s="249"/>
      <c r="C3" s="249"/>
      <c r="D3" s="249"/>
    </row>
    <row r="4" spans="1:4" ht="21">
      <c r="A4" s="250" t="s">
        <v>212</v>
      </c>
      <c r="B4" s="250"/>
      <c r="C4" s="250"/>
      <c r="D4" s="250"/>
    </row>
    <row r="5" spans="1:4" ht="21">
      <c r="A5" s="76" t="s">
        <v>2</v>
      </c>
      <c r="B5" s="77" t="s">
        <v>3</v>
      </c>
      <c r="C5" s="78" t="s">
        <v>4</v>
      </c>
      <c r="D5" s="78" t="s">
        <v>5</v>
      </c>
    </row>
    <row r="6" spans="1:4" ht="21">
      <c r="A6" s="79"/>
      <c r="B6" s="65" t="s">
        <v>6</v>
      </c>
      <c r="C6" s="80"/>
      <c r="D6" s="80"/>
    </row>
    <row r="7" spans="1:4" ht="21">
      <c r="A7" s="36" t="s">
        <v>7</v>
      </c>
      <c r="B7" s="57" t="s">
        <v>8</v>
      </c>
      <c r="C7" s="72">
        <v>593080.9</v>
      </c>
      <c r="D7" s="54"/>
    </row>
    <row r="8" spans="1:4" ht="21">
      <c r="A8" s="36" t="s">
        <v>9</v>
      </c>
      <c r="B8" s="57" t="s">
        <v>10</v>
      </c>
      <c r="C8" s="35">
        <v>4113732.26</v>
      </c>
      <c r="D8" s="54"/>
    </row>
    <row r="9" spans="1:4" ht="21">
      <c r="A9" s="36" t="s">
        <v>11</v>
      </c>
      <c r="B9" s="57" t="s">
        <v>10</v>
      </c>
      <c r="C9" s="35">
        <v>14458851.79</v>
      </c>
      <c r="D9" s="54"/>
    </row>
    <row r="10" spans="1:4" ht="21">
      <c r="A10" s="36" t="s">
        <v>12</v>
      </c>
      <c r="B10" s="57" t="s">
        <v>10</v>
      </c>
      <c r="C10" s="35">
        <v>218078.49</v>
      </c>
      <c r="D10" s="54"/>
    </row>
    <row r="11" spans="1:4" ht="21">
      <c r="A11" s="36" t="s">
        <v>90</v>
      </c>
      <c r="B11" s="57"/>
      <c r="C11" s="35">
        <v>8800</v>
      </c>
      <c r="D11" s="54"/>
    </row>
    <row r="12" spans="1:4" ht="21">
      <c r="A12" s="36" t="s">
        <v>197</v>
      </c>
      <c r="B12" s="44"/>
      <c r="C12" s="35">
        <v>46584.37</v>
      </c>
      <c r="D12" s="54"/>
    </row>
    <row r="13" spans="1:4" ht="21">
      <c r="A13" s="36" t="s">
        <v>15</v>
      </c>
      <c r="B13" s="57" t="s">
        <v>16</v>
      </c>
      <c r="C13" s="35">
        <v>574349</v>
      </c>
      <c r="D13" s="54"/>
    </row>
    <row r="14" spans="1:4" ht="21">
      <c r="A14" s="36" t="s">
        <v>198</v>
      </c>
      <c r="B14" s="44">
        <v>100</v>
      </c>
      <c r="C14" s="35">
        <v>1460700</v>
      </c>
      <c r="D14" s="54"/>
    </row>
    <row r="15" spans="1:7" ht="21">
      <c r="A15" s="36" t="s">
        <v>199</v>
      </c>
      <c r="B15" s="44">
        <v>120</v>
      </c>
      <c r="C15" s="35">
        <v>1765554</v>
      </c>
      <c r="D15" s="54"/>
      <c r="G15">
        <v>8</v>
      </c>
    </row>
    <row r="16" spans="1:4" ht="21">
      <c r="A16" s="36" t="s">
        <v>17</v>
      </c>
      <c r="B16" s="44">
        <v>200</v>
      </c>
      <c r="C16" s="35">
        <v>200709</v>
      </c>
      <c r="D16" s="54"/>
    </row>
    <row r="17" spans="1:4" ht="21">
      <c r="A17" s="36" t="s">
        <v>18</v>
      </c>
      <c r="B17" s="44">
        <v>250</v>
      </c>
      <c r="C17" s="35">
        <f>786862+9920+217722</f>
        <v>1014504</v>
      </c>
      <c r="D17" s="54"/>
    </row>
    <row r="18" spans="1:4" ht="21">
      <c r="A18" s="36" t="s">
        <v>19</v>
      </c>
      <c r="B18" s="44">
        <v>270</v>
      </c>
      <c r="C18" s="35">
        <v>745451.77</v>
      </c>
      <c r="D18" s="54"/>
    </row>
    <row r="19" spans="1:4" ht="21">
      <c r="A19" s="36" t="s">
        <v>20</v>
      </c>
      <c r="B19" s="44">
        <v>300</v>
      </c>
      <c r="C19" s="35">
        <v>55841.28</v>
      </c>
      <c r="D19" s="54"/>
    </row>
    <row r="20" spans="1:4" ht="21">
      <c r="A20" s="36" t="s">
        <v>21</v>
      </c>
      <c r="B20" s="44">
        <v>400</v>
      </c>
      <c r="C20" s="72">
        <v>740153.88</v>
      </c>
      <c r="D20" s="54"/>
    </row>
    <row r="21" spans="1:4" ht="21">
      <c r="A21" s="36" t="s">
        <v>22</v>
      </c>
      <c r="B21" s="44">
        <v>450</v>
      </c>
      <c r="C21" s="72">
        <v>96588</v>
      </c>
      <c r="D21" s="54"/>
    </row>
    <row r="22" spans="1:4" ht="21">
      <c r="A22" s="36" t="s">
        <v>134</v>
      </c>
      <c r="B22" s="44">
        <v>500</v>
      </c>
      <c r="C22" s="72"/>
      <c r="D22" s="54"/>
    </row>
    <row r="23" spans="1:4" ht="21">
      <c r="A23" s="36" t="s">
        <v>23</v>
      </c>
      <c r="B23" s="57">
        <v>550</v>
      </c>
      <c r="C23" s="72"/>
      <c r="D23" s="54"/>
    </row>
    <row r="24" spans="1:4" ht="21">
      <c r="A24" s="36" t="s">
        <v>200</v>
      </c>
      <c r="B24" s="44"/>
      <c r="C24" s="35"/>
      <c r="D24" s="54">
        <f>'หมายเหตุ 1'!H31</f>
        <v>14195802.379999999</v>
      </c>
    </row>
    <row r="25" spans="1:4" ht="21">
      <c r="A25" s="73" t="s">
        <v>176</v>
      </c>
      <c r="B25" s="44"/>
      <c r="C25" s="35"/>
      <c r="D25" s="54">
        <f>'หมายเหตุ 2'!G9</f>
        <v>728446.12</v>
      </c>
    </row>
    <row r="26" spans="1:4" ht="21">
      <c r="A26" s="36" t="s">
        <v>201</v>
      </c>
      <c r="B26" s="44"/>
      <c r="C26" s="35"/>
      <c r="D26" s="54">
        <f>'หมายเหตุ 2'!G33</f>
        <v>5037</v>
      </c>
    </row>
    <row r="27" spans="1:7" ht="21">
      <c r="A27" s="36" t="s">
        <v>202</v>
      </c>
      <c r="B27" s="44"/>
      <c r="C27" s="35"/>
      <c r="D27" s="54">
        <f>'หมายเหตุ 4'!I8</f>
        <v>0</v>
      </c>
      <c r="G27" s="12">
        <f>D31-C31</f>
        <v>0</v>
      </c>
    </row>
    <row r="28" spans="1:4" ht="21">
      <c r="A28" s="36" t="s">
        <v>203</v>
      </c>
      <c r="B28" s="44"/>
      <c r="C28" s="35"/>
      <c r="D28" s="54">
        <f>หมายเหตุ6!I19</f>
        <v>1639824</v>
      </c>
    </row>
    <row r="29" spans="1:4" ht="21">
      <c r="A29" s="36" t="s">
        <v>24</v>
      </c>
      <c r="B29" s="44"/>
      <c r="C29" s="35"/>
      <c r="D29" s="54">
        <v>4238497.68</v>
      </c>
    </row>
    <row r="30" spans="1:4" ht="21">
      <c r="A30" s="36" t="s">
        <v>25</v>
      </c>
      <c r="B30" s="44"/>
      <c r="C30" s="35"/>
      <c r="D30" s="54">
        <v>5285371.56</v>
      </c>
    </row>
    <row r="31" spans="1:4" ht="21.75" thickBot="1">
      <c r="A31" s="36"/>
      <c r="B31" s="44"/>
      <c r="C31" s="75">
        <f>SUM(C7:C30)</f>
        <v>26092978.74</v>
      </c>
      <c r="D31" s="75">
        <f>SUM(D24:D30)</f>
        <v>26092978.74</v>
      </c>
    </row>
    <row r="32" ht="13.5" thickTop="1"/>
  </sheetData>
  <mergeCells count="3">
    <mergeCell ref="A2:D2"/>
    <mergeCell ref="A3:D3"/>
    <mergeCell ref="A4:D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2">
      <selection activeCell="I19" sqref="I19"/>
    </sheetView>
  </sheetViews>
  <sheetFormatPr defaultColWidth="9.140625" defaultRowHeight="12.75"/>
  <cols>
    <col min="4" max="4" width="9.57421875" style="0" customWidth="1"/>
    <col min="5" max="5" width="12.28125" style="0" customWidth="1"/>
    <col min="6" max="6" width="12.7109375" style="0" customWidth="1"/>
    <col min="7" max="7" width="12.140625" style="0" customWidth="1"/>
    <col min="8" max="8" width="12.28125" style="0" customWidth="1"/>
    <col min="9" max="9" width="12.421875" style="0" customWidth="1"/>
    <col min="12" max="12" width="12.8515625" style="0" bestFit="1" customWidth="1"/>
  </cols>
  <sheetData>
    <row r="1" spans="1:9" ht="18.75">
      <c r="A1" s="271" t="s">
        <v>64</v>
      </c>
      <c r="B1" s="271"/>
      <c r="C1" s="271"/>
      <c r="D1" s="271"/>
      <c r="E1" s="271"/>
      <c r="F1" s="271"/>
      <c r="G1" s="271"/>
      <c r="H1" s="271"/>
      <c r="I1" s="271"/>
    </row>
    <row r="2" spans="1:9" ht="18.75">
      <c r="A2" s="271" t="s">
        <v>172</v>
      </c>
      <c r="B2" s="271"/>
      <c r="C2" s="271"/>
      <c r="D2" s="271"/>
      <c r="E2" s="271"/>
      <c r="F2" s="271"/>
      <c r="G2" s="271"/>
      <c r="H2" s="271"/>
      <c r="I2" s="271"/>
    </row>
    <row r="3" spans="1:9" ht="18.75">
      <c r="A3" s="276" t="s">
        <v>27</v>
      </c>
      <c r="B3" s="277"/>
      <c r="C3" s="277"/>
      <c r="D3" s="277"/>
      <c r="E3" s="257" t="s">
        <v>65</v>
      </c>
      <c r="F3" s="259"/>
      <c r="G3" s="257" t="s">
        <v>66</v>
      </c>
      <c r="H3" s="259"/>
      <c r="I3" s="244" t="s">
        <v>30</v>
      </c>
    </row>
    <row r="4" spans="1:9" ht="18.75">
      <c r="A4" s="278"/>
      <c r="B4" s="243"/>
      <c r="C4" s="243"/>
      <c r="D4" s="243"/>
      <c r="E4" s="104" t="s">
        <v>67</v>
      </c>
      <c r="F4" s="103" t="s">
        <v>68</v>
      </c>
      <c r="G4" s="104" t="s">
        <v>67</v>
      </c>
      <c r="H4" s="104" t="s">
        <v>68</v>
      </c>
      <c r="I4" s="245"/>
    </row>
    <row r="5" spans="1:12" ht="18.75">
      <c r="A5" s="273" t="s">
        <v>174</v>
      </c>
      <c r="B5" s="274"/>
      <c r="C5" s="274"/>
      <c r="D5" s="274"/>
      <c r="E5" s="111"/>
      <c r="F5" s="112"/>
      <c r="G5" s="112"/>
      <c r="H5" s="112"/>
      <c r="I5" s="113"/>
      <c r="L5" s="12">
        <f>7361420+E19</f>
        <v>7660151</v>
      </c>
    </row>
    <row r="6" spans="1:9" ht="18.75">
      <c r="A6" s="115" t="s">
        <v>138</v>
      </c>
      <c r="B6" s="116"/>
      <c r="C6" s="116"/>
      <c r="D6" s="116"/>
      <c r="E6" s="118"/>
      <c r="F6" s="119">
        <v>4779900</v>
      </c>
      <c r="G6" s="118">
        <v>844000</v>
      </c>
      <c r="H6" s="118">
        <f>2154100+G6</f>
        <v>2998100</v>
      </c>
      <c r="I6" s="122">
        <f>F6-H6</f>
        <v>1781800</v>
      </c>
    </row>
    <row r="7" spans="1:9" ht="18.75">
      <c r="A7" s="115" t="s">
        <v>139</v>
      </c>
      <c r="B7" s="116"/>
      <c r="C7" s="116"/>
      <c r="D7" s="116"/>
      <c r="E7" s="118"/>
      <c r="F7" s="119">
        <v>808000</v>
      </c>
      <c r="G7" s="118">
        <v>133000</v>
      </c>
      <c r="H7" s="118">
        <f>336000+G7</f>
        <v>469000</v>
      </c>
      <c r="I7" s="122">
        <f>F7-H7</f>
        <v>339000</v>
      </c>
    </row>
    <row r="8" spans="1:9" ht="18.75">
      <c r="A8" s="115" t="s">
        <v>173</v>
      </c>
      <c r="B8" s="116"/>
      <c r="C8" s="116"/>
      <c r="D8" s="116"/>
      <c r="E8" s="118">
        <v>0</v>
      </c>
      <c r="F8" s="119">
        <v>1498000</v>
      </c>
      <c r="G8" s="118">
        <v>0</v>
      </c>
      <c r="H8" s="118">
        <v>1498000</v>
      </c>
      <c r="I8" s="122">
        <f>F8-H8</f>
        <v>0</v>
      </c>
    </row>
    <row r="9" spans="1:9" ht="18.75">
      <c r="A9" s="115"/>
      <c r="B9" s="116"/>
      <c r="C9" s="116"/>
      <c r="D9" s="116"/>
      <c r="E9" s="118"/>
      <c r="F9" s="119"/>
      <c r="G9" s="118"/>
      <c r="H9" s="118"/>
      <c r="I9" s="122">
        <f>F9-H9</f>
        <v>0</v>
      </c>
    </row>
    <row r="10" spans="1:9" ht="18.75">
      <c r="A10" s="275" t="s">
        <v>140</v>
      </c>
      <c r="B10" s="275"/>
      <c r="C10" s="275"/>
      <c r="D10" s="275"/>
      <c r="E10" s="123"/>
      <c r="F10" s="119"/>
      <c r="G10" s="119"/>
      <c r="H10" s="119"/>
      <c r="I10" s="122"/>
    </row>
    <row r="11" spans="1:9" ht="18.75">
      <c r="A11" s="115" t="s">
        <v>142</v>
      </c>
      <c r="B11" s="116"/>
      <c r="C11" s="116"/>
      <c r="D11" s="116"/>
      <c r="E11" s="25">
        <v>0</v>
      </c>
      <c r="F11" s="26">
        <v>0</v>
      </c>
      <c r="G11" s="25">
        <v>0</v>
      </c>
      <c r="H11" s="25">
        <v>0</v>
      </c>
      <c r="I11" s="124">
        <v>0</v>
      </c>
    </row>
    <row r="12" spans="1:9" ht="18.75">
      <c r="A12" s="115" t="s">
        <v>144</v>
      </c>
      <c r="B12" s="116"/>
      <c r="C12" s="116"/>
      <c r="D12" s="116"/>
      <c r="E12" s="118">
        <v>298731</v>
      </c>
      <c r="F12" s="119">
        <f>275520+E12</f>
        <v>574251</v>
      </c>
      <c r="G12" s="118">
        <v>229474</v>
      </c>
      <c r="H12" s="118">
        <f>272630+G12</f>
        <v>502104</v>
      </c>
      <c r="I12" s="122">
        <f>F12-H12</f>
        <v>72147</v>
      </c>
    </row>
    <row r="13" spans="1:12" ht="18.75">
      <c r="A13" s="115" t="s">
        <v>146</v>
      </c>
      <c r="B13" s="116"/>
      <c r="C13" s="116"/>
      <c r="D13" s="116"/>
      <c r="E13" s="118">
        <v>0</v>
      </c>
      <c r="F13" s="119">
        <v>0</v>
      </c>
      <c r="G13" s="118">
        <v>0</v>
      </c>
      <c r="H13" s="118">
        <v>0</v>
      </c>
      <c r="I13" s="122">
        <f>F13-H13</f>
        <v>0</v>
      </c>
      <c r="L13" s="201">
        <v>3301126.15</v>
      </c>
    </row>
    <row r="14" spans="1:12" ht="18.75">
      <c r="A14" s="272" t="s">
        <v>141</v>
      </c>
      <c r="B14" s="272"/>
      <c r="C14" s="272"/>
      <c r="D14" s="272"/>
      <c r="E14" s="118"/>
      <c r="F14" s="119"/>
      <c r="G14" s="118"/>
      <c r="H14" s="118"/>
      <c r="I14" s="122"/>
      <c r="L14" s="201">
        <v>3112634.15</v>
      </c>
    </row>
    <row r="15" spans="1:12" ht="18.75">
      <c r="A15" s="111" t="s">
        <v>143</v>
      </c>
      <c r="B15" s="112"/>
      <c r="C15" s="112"/>
      <c r="D15" s="112"/>
      <c r="E15" s="25">
        <v>0</v>
      </c>
      <c r="F15" s="26">
        <v>0</v>
      </c>
      <c r="G15" s="25">
        <v>0</v>
      </c>
      <c r="H15" s="25">
        <v>0</v>
      </c>
      <c r="I15" s="25">
        <f>F15-H15</f>
        <v>0</v>
      </c>
      <c r="L15" s="201">
        <f>L13-L14</f>
        <v>188492</v>
      </c>
    </row>
    <row r="16" spans="1:9" ht="18.75">
      <c r="A16" s="116"/>
      <c r="B16" s="116"/>
      <c r="C16" s="116"/>
      <c r="D16" s="116"/>
      <c r="E16" s="118"/>
      <c r="F16" s="119"/>
      <c r="G16" s="123"/>
      <c r="H16" s="118"/>
      <c r="I16" s="118"/>
    </row>
    <row r="17" spans="1:9" ht="18.75">
      <c r="A17" s="115"/>
      <c r="B17" s="116"/>
      <c r="C17" s="116"/>
      <c r="D17" s="116"/>
      <c r="E17" s="118"/>
      <c r="F17" s="119"/>
      <c r="G17" s="123"/>
      <c r="H17" s="118"/>
      <c r="I17" s="118"/>
    </row>
    <row r="18" spans="1:9" ht="18.75">
      <c r="A18" s="125"/>
      <c r="B18" s="116"/>
      <c r="C18" s="116"/>
      <c r="D18" s="116"/>
      <c r="E18" s="118"/>
      <c r="F18" s="119"/>
      <c r="G18" s="123"/>
      <c r="H18" s="118"/>
      <c r="I18" s="118"/>
    </row>
    <row r="19" spans="1:12" ht="19.5" thickBot="1">
      <c r="A19" s="114"/>
      <c r="B19" s="114"/>
      <c r="C19" s="114"/>
      <c r="D19" s="114"/>
      <c r="E19" s="126">
        <f>E6+E11+E12+E13+E14+E15+E16+E17+E18+E7+E8</f>
        <v>298731</v>
      </c>
      <c r="F19" s="29">
        <f>F6+F11+F12+F13+F14+F15+F16+F17+F18+F7+F8</f>
        <v>7660151</v>
      </c>
      <c r="G19" s="126">
        <f>SUM(G6:G18)</f>
        <v>1206474</v>
      </c>
      <c r="H19" s="29">
        <f>H6+H11+H12+H13+H14+H15+H16+H7+H8</f>
        <v>5467204</v>
      </c>
      <c r="I19" s="28">
        <f>I6+I7+I8+I9+I11+I12+I13+I14+I15+I16+I17+I18</f>
        <v>2192947</v>
      </c>
      <c r="L19" s="12">
        <f>F19-H19</f>
        <v>2192947</v>
      </c>
    </row>
    <row r="20" spans="1:9" ht="21.75" thickTop="1">
      <c r="A20" s="88"/>
      <c r="B20" s="88"/>
      <c r="C20" s="88"/>
      <c r="D20" s="88"/>
      <c r="E20" s="88"/>
      <c r="F20" s="88"/>
      <c r="G20" s="88"/>
      <c r="H20" s="89"/>
      <c r="I20" s="88"/>
    </row>
    <row r="21" spans="1:9" ht="21">
      <c r="A21" s="88"/>
      <c r="B21" s="88"/>
      <c r="C21" s="88"/>
      <c r="D21" s="88"/>
      <c r="E21" s="88"/>
      <c r="F21" s="88"/>
      <c r="G21" s="88"/>
      <c r="H21" s="88"/>
      <c r="I21" s="88"/>
    </row>
  </sheetData>
  <mergeCells count="9">
    <mergeCell ref="A14:D14"/>
    <mergeCell ref="A5:D5"/>
    <mergeCell ref="A10:D10"/>
    <mergeCell ref="A1:I1"/>
    <mergeCell ref="A2:I2"/>
    <mergeCell ref="A3:D4"/>
    <mergeCell ref="E3:F3"/>
    <mergeCell ref="G3:H3"/>
    <mergeCell ref="I3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4">
      <selection activeCell="F30" sqref="F30"/>
    </sheetView>
  </sheetViews>
  <sheetFormatPr defaultColWidth="9.140625" defaultRowHeight="12.75"/>
  <cols>
    <col min="1" max="1" width="15.57421875" style="0" customWidth="1"/>
    <col min="2" max="2" width="13.57421875" style="0" customWidth="1"/>
    <col min="4" max="4" width="29.8515625" style="0" customWidth="1"/>
    <col min="6" max="6" width="15.7109375" style="0" customWidth="1"/>
    <col min="9" max="9" width="13.8515625" style="0" bestFit="1" customWidth="1"/>
  </cols>
  <sheetData>
    <row r="1" spans="1:9" ht="23.25">
      <c r="A1" s="31" t="s">
        <v>69</v>
      </c>
      <c r="B1" s="32"/>
      <c r="C1" s="32"/>
      <c r="D1" s="32"/>
      <c r="E1" s="33"/>
      <c r="F1" s="31"/>
      <c r="G1" s="1"/>
      <c r="H1" s="1"/>
      <c r="I1" s="1"/>
    </row>
    <row r="2" spans="1:9" ht="23.25">
      <c r="A2" s="34" t="s">
        <v>175</v>
      </c>
      <c r="B2" s="32"/>
      <c r="C2" s="32"/>
      <c r="D2" s="32"/>
      <c r="E2" s="33"/>
      <c r="F2" s="31"/>
      <c r="G2" s="1"/>
      <c r="H2" s="1"/>
      <c r="I2" s="1"/>
    </row>
    <row r="3" spans="1:9" ht="23.25">
      <c r="A3" s="249" t="s">
        <v>70</v>
      </c>
      <c r="B3" s="249"/>
      <c r="C3" s="249"/>
      <c r="D3" s="249"/>
      <c r="E3" s="249"/>
      <c r="F3" s="249"/>
      <c r="G3" s="1"/>
      <c r="H3" s="1"/>
      <c r="I3" s="1"/>
    </row>
    <row r="4" spans="1:9" ht="23.25">
      <c r="A4" s="250" t="s">
        <v>150</v>
      </c>
      <c r="B4" s="249"/>
      <c r="C4" s="249"/>
      <c r="D4" s="249"/>
      <c r="E4" s="249"/>
      <c r="F4" s="249"/>
      <c r="G4" s="1"/>
      <c r="H4" s="1"/>
      <c r="I4" s="1"/>
    </row>
    <row r="5" spans="1:9" ht="23.25">
      <c r="A5" s="35"/>
      <c r="B5" s="35"/>
      <c r="C5" s="36"/>
      <c r="D5" s="36"/>
      <c r="E5" s="37"/>
      <c r="F5" s="35"/>
      <c r="G5" s="1"/>
      <c r="H5" s="1"/>
      <c r="I5" s="1"/>
    </row>
    <row r="6" spans="1:9" ht="23.25">
      <c r="A6" s="246" t="s">
        <v>71</v>
      </c>
      <c r="B6" s="247"/>
      <c r="C6" s="38"/>
      <c r="D6" s="39"/>
      <c r="E6" s="40" t="s">
        <v>3</v>
      </c>
      <c r="F6" s="41" t="s">
        <v>67</v>
      </c>
      <c r="G6" s="1"/>
      <c r="H6" s="1"/>
      <c r="I6" s="1"/>
    </row>
    <row r="7" spans="1:9" ht="23.25">
      <c r="A7" s="41" t="s">
        <v>72</v>
      </c>
      <c r="B7" s="41" t="s">
        <v>73</v>
      </c>
      <c r="C7" s="42" t="s">
        <v>27</v>
      </c>
      <c r="D7" s="43"/>
      <c r="E7" s="44" t="s">
        <v>6</v>
      </c>
      <c r="F7" s="45" t="s">
        <v>73</v>
      </c>
      <c r="G7" s="1"/>
      <c r="H7" s="1"/>
      <c r="I7" s="1"/>
    </row>
    <row r="8" spans="1:9" ht="23.25">
      <c r="A8" s="46" t="s">
        <v>74</v>
      </c>
      <c r="B8" s="46" t="s">
        <v>74</v>
      </c>
      <c r="C8" s="47"/>
      <c r="D8" s="48"/>
      <c r="E8" s="49"/>
      <c r="F8" s="46" t="s">
        <v>74</v>
      </c>
      <c r="G8" s="1"/>
      <c r="H8" s="1"/>
      <c r="I8" s="1"/>
    </row>
    <row r="9" spans="1:9" ht="23.25">
      <c r="A9" s="50"/>
      <c r="B9" s="127">
        <v>13408421.02</v>
      </c>
      <c r="C9" s="32" t="s">
        <v>28</v>
      </c>
      <c r="D9" s="32"/>
      <c r="E9" s="51"/>
      <c r="F9" s="67">
        <v>11716323.74</v>
      </c>
      <c r="G9" s="1"/>
      <c r="H9" s="1"/>
      <c r="I9" s="1"/>
    </row>
    <row r="10" spans="1:9" ht="23.25">
      <c r="A10" s="50"/>
      <c r="B10" s="52"/>
      <c r="C10" s="53" t="s">
        <v>75</v>
      </c>
      <c r="D10" s="32"/>
      <c r="E10" s="44"/>
      <c r="F10" s="54"/>
      <c r="G10" s="1"/>
      <c r="H10" s="1"/>
      <c r="I10" s="1"/>
    </row>
    <row r="11" spans="1:9" ht="23.25">
      <c r="A11" s="55">
        <v>100000</v>
      </c>
      <c r="B11" s="54">
        <f>56100.43+F11</f>
        <v>73368.66</v>
      </c>
      <c r="C11" s="56" t="s">
        <v>76</v>
      </c>
      <c r="D11" s="36"/>
      <c r="E11" s="57" t="s">
        <v>77</v>
      </c>
      <c r="F11" s="54">
        <f>9632.5+7435.73+200</f>
        <v>17268.23</v>
      </c>
      <c r="G11" s="1"/>
      <c r="H11" s="1"/>
      <c r="I11" s="1"/>
    </row>
    <row r="12" spans="1:9" ht="23.25">
      <c r="A12" s="55">
        <v>92000</v>
      </c>
      <c r="B12" s="54">
        <f>30105+F12</f>
        <v>30115</v>
      </c>
      <c r="C12" s="56" t="s">
        <v>78</v>
      </c>
      <c r="D12" s="36"/>
      <c r="E12" s="57" t="s">
        <v>79</v>
      </c>
      <c r="F12" s="54">
        <f>10</f>
        <v>10</v>
      </c>
      <c r="G12" s="1"/>
      <c r="H12" s="1"/>
      <c r="I12" s="1"/>
    </row>
    <row r="13" spans="1:9" ht="23.25">
      <c r="A13" s="55">
        <v>53000</v>
      </c>
      <c r="B13" s="54">
        <f>21416.92+F13</f>
        <v>22216.92</v>
      </c>
      <c r="C13" s="56" t="s">
        <v>80</v>
      </c>
      <c r="D13" s="36"/>
      <c r="E13" s="57" t="s">
        <v>81</v>
      </c>
      <c r="F13" s="54">
        <v>800</v>
      </c>
      <c r="G13" s="1"/>
      <c r="H13" s="1"/>
      <c r="I13" s="1"/>
    </row>
    <row r="14" spans="1:9" ht="23.25">
      <c r="A14" s="55">
        <v>0</v>
      </c>
      <c r="B14" s="54">
        <f>F14</f>
        <v>0</v>
      </c>
      <c r="C14" s="58" t="s">
        <v>82</v>
      </c>
      <c r="D14" s="36"/>
      <c r="E14" s="57" t="s">
        <v>83</v>
      </c>
      <c r="F14" s="54">
        <v>0</v>
      </c>
      <c r="G14" s="1"/>
      <c r="H14" s="1"/>
      <c r="I14" s="1"/>
    </row>
    <row r="15" spans="1:9" ht="23.25">
      <c r="A15" s="55">
        <v>31000</v>
      </c>
      <c r="B15" s="54">
        <v>0</v>
      </c>
      <c r="C15" s="56" t="s">
        <v>84</v>
      </c>
      <c r="D15" s="36"/>
      <c r="E15" s="57" t="s">
        <v>85</v>
      </c>
      <c r="F15" s="45">
        <v>0</v>
      </c>
      <c r="G15" s="1"/>
      <c r="H15" s="1"/>
      <c r="I15" s="1"/>
    </row>
    <row r="16" spans="1:9" ht="23.25">
      <c r="A16" s="55">
        <v>8924000</v>
      </c>
      <c r="B16" s="67">
        <f>2190471.05+F16</f>
        <v>3913547.9899999998</v>
      </c>
      <c r="C16" s="56" t="s">
        <v>86</v>
      </c>
      <c r="D16" s="36"/>
      <c r="E16" s="44">
        <v>1000</v>
      </c>
      <c r="F16" s="59">
        <f>1307424.2+154038.36+78080.44+125860.7+15498.24+42175</f>
        <v>1723076.94</v>
      </c>
      <c r="G16" s="1"/>
      <c r="H16" s="1"/>
      <c r="I16" s="11">
        <f>'หมายเหตุ 1'!G31</f>
        <v>1354550.9699999997</v>
      </c>
    </row>
    <row r="17" spans="1:9" ht="23.25">
      <c r="A17" s="55">
        <v>7800000</v>
      </c>
      <c r="B17" s="67">
        <f>2429696+F17</f>
        <v>7645440</v>
      </c>
      <c r="C17" s="56" t="s">
        <v>87</v>
      </c>
      <c r="D17" s="36"/>
      <c r="E17" s="44">
        <v>2000</v>
      </c>
      <c r="F17" s="60">
        <v>5215744</v>
      </c>
      <c r="G17" s="1"/>
      <c r="H17" s="1"/>
      <c r="I17" s="11">
        <f>F18</f>
        <v>6956899.17</v>
      </c>
    </row>
    <row r="18" spans="1:10" ht="24" thickBot="1">
      <c r="A18" s="61">
        <f>SUM(A9:A17)</f>
        <v>17000000</v>
      </c>
      <c r="B18" s="68">
        <f>B11+B12+B13+B14+B15+B16+B17</f>
        <v>11684688.57</v>
      </c>
      <c r="C18" s="32"/>
      <c r="D18" s="32"/>
      <c r="E18" s="51"/>
      <c r="F18" s="61">
        <f>SUM(F11+F12+F13+F14+F15+F16+F17)</f>
        <v>6956899.17</v>
      </c>
      <c r="G18" s="1"/>
      <c r="H18" s="1"/>
      <c r="I18" s="11">
        <f>I16-I17</f>
        <v>-5602348.2</v>
      </c>
      <c r="J18" t="s">
        <v>148</v>
      </c>
    </row>
    <row r="19" spans="1:9" ht="24" thickTop="1">
      <c r="A19" s="62"/>
      <c r="B19" s="54">
        <f>123489.77+F19</f>
        <v>154073.43</v>
      </c>
      <c r="C19" s="36" t="s">
        <v>176</v>
      </c>
      <c r="D19" s="36"/>
      <c r="E19" s="44">
        <v>900</v>
      </c>
      <c r="F19" s="45">
        <f>'หมายเหตุ 2'!E9</f>
        <v>30583.66</v>
      </c>
      <c r="G19" s="1"/>
      <c r="H19" s="1"/>
      <c r="I19" s="1"/>
    </row>
    <row r="20" spans="1:9" ht="23.25">
      <c r="A20" s="62"/>
      <c r="B20" s="67">
        <f>3350220+F20</f>
        <v>3579694</v>
      </c>
      <c r="C20" s="36" t="s">
        <v>177</v>
      </c>
      <c r="D20" s="36"/>
      <c r="E20" s="44">
        <v>3000</v>
      </c>
      <c r="F20" s="45">
        <f>หมายเหตุ6!E19</f>
        <v>229474</v>
      </c>
      <c r="G20" s="1"/>
      <c r="H20" s="1"/>
      <c r="I20" s="1"/>
    </row>
    <row r="21" spans="1:10" ht="23.25">
      <c r="A21" s="62"/>
      <c r="B21" s="54">
        <f>F21</f>
        <v>0</v>
      </c>
      <c r="C21" s="36" t="s">
        <v>88</v>
      </c>
      <c r="D21" s="36"/>
      <c r="E21" s="44"/>
      <c r="F21" s="45">
        <v>0</v>
      </c>
      <c r="G21" s="1"/>
      <c r="H21" s="1"/>
      <c r="I21" s="1" t="s">
        <v>54</v>
      </c>
      <c r="J21" t="s">
        <v>55</v>
      </c>
    </row>
    <row r="22" spans="1:10" ht="23.25">
      <c r="A22" s="62"/>
      <c r="B22" s="54">
        <v>0</v>
      </c>
      <c r="C22" s="36" t="s">
        <v>24</v>
      </c>
      <c r="D22" s="36"/>
      <c r="E22" s="57">
        <v>700</v>
      </c>
      <c r="F22" s="45">
        <v>0</v>
      </c>
      <c r="G22" s="1"/>
      <c r="H22" s="1"/>
      <c r="I22" s="1">
        <v>4029.76</v>
      </c>
      <c r="J22" s="74">
        <v>4029.76</v>
      </c>
    </row>
    <row r="23" spans="1:9" ht="23.25">
      <c r="A23" s="62"/>
      <c r="B23" s="67">
        <f>1183730+F23</f>
        <v>1183730</v>
      </c>
      <c r="C23" s="36" t="s">
        <v>13</v>
      </c>
      <c r="D23" s="36"/>
      <c r="E23" s="57"/>
      <c r="F23" s="45">
        <v>0</v>
      </c>
      <c r="G23" s="1"/>
      <c r="H23" s="1"/>
      <c r="I23" s="1">
        <v>574.58</v>
      </c>
    </row>
    <row r="24" spans="1:9" ht="23.25">
      <c r="A24" s="62"/>
      <c r="B24" s="54">
        <v>0</v>
      </c>
      <c r="C24" s="36" t="s">
        <v>89</v>
      </c>
      <c r="D24" s="36"/>
      <c r="E24" s="57"/>
      <c r="F24" s="45">
        <v>0</v>
      </c>
      <c r="G24" s="1"/>
      <c r="H24" s="1"/>
      <c r="I24" s="5">
        <f>SUM(I22:I23)</f>
        <v>4604.34</v>
      </c>
    </row>
    <row r="25" spans="1:9" ht="23.25">
      <c r="A25" s="62"/>
      <c r="B25" s="54">
        <f>41244+F25</f>
        <v>101244</v>
      </c>
      <c r="C25" s="36" t="s">
        <v>90</v>
      </c>
      <c r="D25" s="36"/>
      <c r="E25" s="57" t="s">
        <v>14</v>
      </c>
      <c r="F25" s="45">
        <v>60000</v>
      </c>
      <c r="G25" s="1"/>
      <c r="H25" s="1"/>
      <c r="I25" s="1"/>
    </row>
    <row r="26" spans="1:9" ht="23.25">
      <c r="A26" s="62"/>
      <c r="B26" s="69">
        <f>B19+B20+B21+B22+B23+B25+B24</f>
        <v>5018741.43</v>
      </c>
      <c r="C26" s="36"/>
      <c r="D26" s="36"/>
      <c r="E26" s="44"/>
      <c r="F26" s="63">
        <f>SUM(F19:F25)</f>
        <v>320057.66000000003</v>
      </c>
      <c r="G26" s="1"/>
      <c r="H26" s="1"/>
      <c r="I26" s="11">
        <f>9426473.17+F27</f>
        <v>16703430</v>
      </c>
    </row>
    <row r="27" spans="1:9" ht="24" thickBot="1">
      <c r="A27" s="64"/>
      <c r="B27" s="128">
        <f>+B26+B18</f>
        <v>16703430</v>
      </c>
      <c r="C27" s="248" t="s">
        <v>91</v>
      </c>
      <c r="D27" s="239"/>
      <c r="E27" s="65"/>
      <c r="F27" s="66">
        <f>+F26+F18</f>
        <v>7276956.83</v>
      </c>
      <c r="G27" s="1"/>
      <c r="H27" s="1"/>
      <c r="I27" s="1"/>
    </row>
    <row r="28" spans="1:9" ht="23.25">
      <c r="A28" s="35"/>
      <c r="B28" s="35"/>
      <c r="C28" s="36"/>
      <c r="D28" s="36"/>
      <c r="E28" s="37"/>
      <c r="F28" s="35"/>
      <c r="G28" s="1"/>
      <c r="H28" s="1"/>
      <c r="I28" s="1"/>
    </row>
    <row r="29" spans="1:6" ht="21.75">
      <c r="A29" s="6"/>
      <c r="B29" s="6"/>
      <c r="C29" s="7"/>
      <c r="D29" s="7"/>
      <c r="E29" s="8"/>
      <c r="F29" s="6"/>
    </row>
    <row r="30" spans="1:6" ht="21.75">
      <c r="A30" s="6"/>
      <c r="B30" s="6"/>
      <c r="C30" s="7"/>
      <c r="D30" s="7"/>
      <c r="E30" s="8"/>
      <c r="F30" s="6"/>
    </row>
    <row r="31" spans="1:6" ht="21.75">
      <c r="A31" s="6"/>
      <c r="B31" s="6"/>
      <c r="C31" s="7"/>
      <c r="D31" s="7"/>
      <c r="E31" s="8"/>
      <c r="F31" s="6"/>
    </row>
    <row r="32" spans="1:6" ht="21.75">
      <c r="A32" s="6"/>
      <c r="B32" s="6"/>
      <c r="C32" s="7"/>
      <c r="D32" s="7"/>
      <c r="E32" s="8"/>
      <c r="F32" s="6"/>
    </row>
    <row r="33" spans="1:6" ht="21.75">
      <c r="A33" s="6"/>
      <c r="B33" s="6"/>
      <c r="C33" s="7"/>
      <c r="D33" s="7"/>
      <c r="E33" s="8"/>
      <c r="F33" s="6"/>
    </row>
    <row r="34" spans="1:6" ht="21.75">
      <c r="A34" s="6"/>
      <c r="B34" s="6"/>
      <c r="C34" s="7"/>
      <c r="D34" s="7"/>
      <c r="E34" s="8"/>
      <c r="F34" s="6"/>
    </row>
  </sheetData>
  <mergeCells count="4">
    <mergeCell ref="A3:F3"/>
    <mergeCell ref="A4:F4"/>
    <mergeCell ref="A6:B6"/>
    <mergeCell ref="C27:D2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2" sqref="B32"/>
    </sheetView>
  </sheetViews>
  <sheetFormatPr defaultColWidth="9.140625" defaultRowHeight="12.75"/>
  <cols>
    <col min="1" max="1" width="15.57421875" style="0" customWidth="1"/>
    <col min="2" max="2" width="13.57421875" style="0" customWidth="1"/>
    <col min="4" max="4" width="29.8515625" style="0" customWidth="1"/>
    <col min="6" max="6" width="15.7109375" style="0" customWidth="1"/>
    <col min="9" max="9" width="13.8515625" style="0" bestFit="1" customWidth="1"/>
  </cols>
  <sheetData>
    <row r="1" spans="1:9" ht="23.25">
      <c r="A1" s="31" t="s">
        <v>69</v>
      </c>
      <c r="B1" s="32"/>
      <c r="C1" s="32"/>
      <c r="D1" s="32"/>
      <c r="E1" s="33"/>
      <c r="F1" s="31"/>
      <c r="G1" s="1"/>
      <c r="H1" s="1"/>
      <c r="I1" s="1"/>
    </row>
    <row r="2" spans="1:9" ht="23.25">
      <c r="A2" s="34" t="s">
        <v>175</v>
      </c>
      <c r="B2" s="32"/>
      <c r="C2" s="32"/>
      <c r="D2" s="32"/>
      <c r="E2" s="33"/>
      <c r="F2" s="31"/>
      <c r="G2" s="1"/>
      <c r="H2" s="1"/>
      <c r="I2" s="1"/>
    </row>
    <row r="3" spans="1:9" ht="23.25">
      <c r="A3" s="249" t="s">
        <v>70</v>
      </c>
      <c r="B3" s="249"/>
      <c r="C3" s="249"/>
      <c r="D3" s="249"/>
      <c r="E3" s="249"/>
      <c r="F3" s="249"/>
      <c r="G3" s="1"/>
      <c r="H3" s="1"/>
      <c r="I3" s="1"/>
    </row>
    <row r="4" spans="1:9" ht="23.25">
      <c r="A4" s="250" t="s">
        <v>213</v>
      </c>
      <c r="B4" s="249"/>
      <c r="C4" s="249"/>
      <c r="D4" s="249"/>
      <c r="E4" s="249"/>
      <c r="F4" s="249"/>
      <c r="G4" s="1"/>
      <c r="H4" s="1"/>
      <c r="I4" s="1"/>
    </row>
    <row r="5" spans="1:9" ht="23.25">
      <c r="A5" s="35"/>
      <c r="B5" s="35"/>
      <c r="C5" s="36"/>
      <c r="D5" s="36"/>
      <c r="E5" s="37"/>
      <c r="F5" s="35"/>
      <c r="G5" s="1"/>
      <c r="H5" s="1"/>
      <c r="I5" s="1"/>
    </row>
    <row r="6" spans="1:9" ht="23.25">
      <c r="A6" s="246" t="s">
        <v>71</v>
      </c>
      <c r="B6" s="247"/>
      <c r="C6" s="38"/>
      <c r="D6" s="39"/>
      <c r="E6" s="40" t="s">
        <v>3</v>
      </c>
      <c r="F6" s="41" t="s">
        <v>67</v>
      </c>
      <c r="G6" s="1"/>
      <c r="H6" s="1"/>
      <c r="I6" s="1"/>
    </row>
    <row r="7" spans="1:9" ht="23.25">
      <c r="A7" s="41" t="s">
        <v>72</v>
      </c>
      <c r="B7" s="41" t="s">
        <v>73</v>
      </c>
      <c r="C7" s="42" t="s">
        <v>27</v>
      </c>
      <c r="D7" s="43"/>
      <c r="E7" s="44" t="s">
        <v>6</v>
      </c>
      <c r="F7" s="45" t="s">
        <v>73</v>
      </c>
      <c r="G7" s="1"/>
      <c r="H7" s="1"/>
      <c r="I7" s="1"/>
    </row>
    <row r="8" spans="1:9" ht="23.25">
      <c r="A8" s="46" t="s">
        <v>74</v>
      </c>
      <c r="B8" s="46" t="s">
        <v>74</v>
      </c>
      <c r="C8" s="47"/>
      <c r="D8" s="48"/>
      <c r="E8" s="49"/>
      <c r="F8" s="46" t="s">
        <v>74</v>
      </c>
      <c r="G8" s="1"/>
      <c r="H8" s="1"/>
      <c r="I8" s="1"/>
    </row>
    <row r="9" spans="1:9" ht="23.25">
      <c r="A9" s="50"/>
      <c r="B9" s="127">
        <v>13408421.02</v>
      </c>
      <c r="C9" s="32" t="s">
        <v>28</v>
      </c>
      <c r="D9" s="32"/>
      <c r="E9" s="51"/>
      <c r="F9" s="67">
        <v>19144035.45</v>
      </c>
      <c r="G9" s="1"/>
      <c r="H9" s="1"/>
      <c r="I9" s="1"/>
    </row>
    <row r="10" spans="1:9" ht="23.25">
      <c r="A10" s="50"/>
      <c r="B10" s="52"/>
      <c r="C10" s="53" t="s">
        <v>75</v>
      </c>
      <c r="D10" s="32"/>
      <c r="E10" s="44"/>
      <c r="F10" s="54"/>
      <c r="G10" s="1"/>
      <c r="H10" s="1"/>
      <c r="I10" s="1"/>
    </row>
    <row r="11" spans="1:9" ht="23.25">
      <c r="A11" s="55">
        <v>100000</v>
      </c>
      <c r="B11" s="54">
        <f>85255.98+F11</f>
        <v>86379.95</v>
      </c>
      <c r="C11" s="56" t="s">
        <v>76</v>
      </c>
      <c r="D11" s="36"/>
      <c r="E11" s="57" t="s">
        <v>77</v>
      </c>
      <c r="F11" s="54">
        <v>1123.97</v>
      </c>
      <c r="G11" s="1"/>
      <c r="H11" s="1"/>
      <c r="I11" s="1"/>
    </row>
    <row r="12" spans="1:9" ht="23.25">
      <c r="A12" s="55">
        <v>92000</v>
      </c>
      <c r="B12" s="54">
        <f>30165+F12</f>
        <v>30185</v>
      </c>
      <c r="C12" s="56" t="s">
        <v>78</v>
      </c>
      <c r="D12" s="36"/>
      <c r="E12" s="57" t="s">
        <v>79</v>
      </c>
      <c r="F12" s="54">
        <v>20</v>
      </c>
      <c r="G12" s="1"/>
      <c r="H12" s="1"/>
      <c r="I12" s="11">
        <f>12841251.41+F18</f>
        <v>14195802.379999999</v>
      </c>
    </row>
    <row r="13" spans="1:9" ht="23.25">
      <c r="A13" s="55">
        <v>53000</v>
      </c>
      <c r="B13" s="54">
        <v>49864</v>
      </c>
      <c r="C13" s="56" t="s">
        <v>80</v>
      </c>
      <c r="D13" s="36"/>
      <c r="E13" s="57" t="s">
        <v>81</v>
      </c>
      <c r="F13" s="54">
        <v>0</v>
      </c>
      <c r="G13" s="1"/>
      <c r="H13" s="1"/>
      <c r="I13" s="1"/>
    </row>
    <row r="14" spans="1:9" ht="23.25">
      <c r="A14" s="55">
        <v>0</v>
      </c>
      <c r="B14" s="54">
        <f>F14</f>
        <v>0</v>
      </c>
      <c r="C14" s="58" t="s">
        <v>82</v>
      </c>
      <c r="D14" s="36"/>
      <c r="E14" s="57" t="s">
        <v>83</v>
      </c>
      <c r="F14" s="54">
        <v>0</v>
      </c>
      <c r="G14" s="1"/>
      <c r="H14" s="1"/>
      <c r="I14" s="1"/>
    </row>
    <row r="15" spans="1:9" ht="23.25">
      <c r="A15" s="55">
        <v>31000</v>
      </c>
      <c r="B15" s="54">
        <v>16500</v>
      </c>
      <c r="C15" s="56" t="s">
        <v>84</v>
      </c>
      <c r="D15" s="36"/>
      <c r="E15" s="57" t="s">
        <v>85</v>
      </c>
      <c r="F15" s="45">
        <v>16500</v>
      </c>
      <c r="G15" s="1"/>
      <c r="H15" s="1"/>
      <c r="I15" s="1"/>
    </row>
    <row r="16" spans="1:9" ht="23.25">
      <c r="A16" s="55">
        <v>8924000</v>
      </c>
      <c r="B16" s="67">
        <f>5030526.43+F16</f>
        <v>6367433.43</v>
      </c>
      <c r="C16" s="56" t="s">
        <v>86</v>
      </c>
      <c r="D16" s="36"/>
      <c r="E16" s="44">
        <v>1000</v>
      </c>
      <c r="F16" s="59">
        <f>973294.1+131197.65+76284.14+138484.9+17640.21+6</f>
        <v>1336906.9999999998</v>
      </c>
      <c r="G16" s="1"/>
      <c r="H16" s="1"/>
      <c r="I16" s="11">
        <f>'หมายเหตุ 1'!G31</f>
        <v>1354550.9699999997</v>
      </c>
    </row>
    <row r="17" spans="1:9" ht="23.25">
      <c r="A17" s="55">
        <v>7800000</v>
      </c>
      <c r="B17" s="67">
        <v>7645440</v>
      </c>
      <c r="C17" s="56" t="s">
        <v>87</v>
      </c>
      <c r="D17" s="36"/>
      <c r="E17" s="44">
        <v>2000</v>
      </c>
      <c r="F17" s="60">
        <v>0</v>
      </c>
      <c r="G17" s="1"/>
      <c r="H17" s="1"/>
      <c r="I17" s="11">
        <f>F18</f>
        <v>1354550.9699999997</v>
      </c>
    </row>
    <row r="18" spans="1:10" ht="24" thickBot="1">
      <c r="A18" s="61">
        <f>SUM(A9:A17)</f>
        <v>17000000</v>
      </c>
      <c r="B18" s="68">
        <f>B11+B12+B13+B14+B15+B16+B17</f>
        <v>14195802.379999999</v>
      </c>
      <c r="C18" s="32"/>
      <c r="D18" s="32"/>
      <c r="E18" s="51"/>
      <c r="F18" s="61">
        <f>SUM(F11+F12+F13+F14+F15+F16+F17)</f>
        <v>1354550.9699999997</v>
      </c>
      <c r="G18" s="1"/>
      <c r="H18" s="1"/>
      <c r="I18" s="11">
        <f>I16-I17</f>
        <v>0</v>
      </c>
      <c r="J18" t="s">
        <v>148</v>
      </c>
    </row>
    <row r="19" spans="1:9" ht="24" thickTop="1">
      <c r="A19" s="62"/>
      <c r="B19" s="54">
        <f>160672.37+F19</f>
        <v>191256.03</v>
      </c>
      <c r="C19" s="36" t="s">
        <v>176</v>
      </c>
      <c r="D19" s="36"/>
      <c r="E19" s="44">
        <v>900</v>
      </c>
      <c r="F19" s="45">
        <f>'หมายเหตุ 2'!E9</f>
        <v>30583.66</v>
      </c>
      <c r="G19" s="1"/>
      <c r="H19" s="1"/>
      <c r="I19" s="1"/>
    </row>
    <row r="20" spans="1:9" ht="23.25">
      <c r="A20" s="62"/>
      <c r="B20" s="67">
        <f>7660151+F20</f>
        <v>7889625</v>
      </c>
      <c r="C20" s="36" t="s">
        <v>177</v>
      </c>
      <c r="D20" s="36"/>
      <c r="E20" s="44">
        <v>3000</v>
      </c>
      <c r="F20" s="45">
        <f>หมายเหตุ6!E19</f>
        <v>229474</v>
      </c>
      <c r="G20" s="1"/>
      <c r="H20" s="1"/>
      <c r="I20" s="1"/>
    </row>
    <row r="21" spans="1:10" ht="23.25">
      <c r="A21" s="62"/>
      <c r="B21" s="54">
        <f>F21</f>
        <v>0</v>
      </c>
      <c r="C21" s="36" t="s">
        <v>88</v>
      </c>
      <c r="D21" s="36"/>
      <c r="E21" s="44"/>
      <c r="F21" s="45">
        <v>0</v>
      </c>
      <c r="G21" s="1"/>
      <c r="H21" s="1"/>
      <c r="I21" s="1" t="s">
        <v>54</v>
      </c>
      <c r="J21" t="s">
        <v>55</v>
      </c>
    </row>
    <row r="22" spans="1:10" ht="23.25">
      <c r="A22" s="62"/>
      <c r="B22" s="54">
        <v>0</v>
      </c>
      <c r="C22" s="36" t="s">
        <v>24</v>
      </c>
      <c r="D22" s="36"/>
      <c r="E22" s="57">
        <v>700</v>
      </c>
      <c r="F22" s="45">
        <v>0</v>
      </c>
      <c r="G22" s="1"/>
      <c r="H22" s="1"/>
      <c r="I22" s="1">
        <v>4029.76</v>
      </c>
      <c r="J22" s="74">
        <v>4029.76</v>
      </c>
    </row>
    <row r="23" spans="1:9" ht="23.25">
      <c r="A23" s="62"/>
      <c r="B23" s="67">
        <f>2103330+F23</f>
        <v>2178898</v>
      </c>
      <c r="C23" s="36" t="s">
        <v>13</v>
      </c>
      <c r="D23" s="36"/>
      <c r="E23" s="57"/>
      <c r="F23" s="45">
        <v>75568</v>
      </c>
      <c r="G23" s="1"/>
      <c r="H23" s="1"/>
      <c r="I23" s="1">
        <v>574.58</v>
      </c>
    </row>
    <row r="24" spans="1:9" ht="23.25">
      <c r="A24" s="62"/>
      <c r="B24" s="54">
        <v>0</v>
      </c>
      <c r="C24" s="36" t="s">
        <v>89</v>
      </c>
      <c r="D24" s="36"/>
      <c r="E24" s="57"/>
      <c r="F24" s="45">
        <v>0</v>
      </c>
      <c r="G24" s="1"/>
      <c r="H24" s="1"/>
      <c r="I24" s="5">
        <f>SUM(I22:I23)</f>
        <v>4604.34</v>
      </c>
    </row>
    <row r="25" spans="1:9" ht="23.25">
      <c r="A25" s="62"/>
      <c r="B25" s="54">
        <f>135844+F25</f>
        <v>145848</v>
      </c>
      <c r="C25" s="36" t="s">
        <v>90</v>
      </c>
      <c r="D25" s="36"/>
      <c r="E25" s="57" t="s">
        <v>14</v>
      </c>
      <c r="F25" s="45">
        <f>9920+84</f>
        <v>10004</v>
      </c>
      <c r="G25" s="1"/>
      <c r="H25" s="1"/>
      <c r="I25" s="1"/>
    </row>
    <row r="26" spans="1:9" ht="23.25">
      <c r="A26" s="62"/>
      <c r="B26" s="69">
        <f>B19+B20+B21+B22+B23+B25+B24</f>
        <v>10405627.030000001</v>
      </c>
      <c r="C26" s="36"/>
      <c r="D26" s="36"/>
      <c r="E26" s="44"/>
      <c r="F26" s="63">
        <f>SUM(F19:F25)</f>
        <v>345629.66000000003</v>
      </c>
      <c r="G26" s="1"/>
      <c r="H26" s="1"/>
      <c r="I26" s="11">
        <f>9426473.17+F27</f>
        <v>11126653.8</v>
      </c>
    </row>
    <row r="27" spans="1:9" ht="24" thickBot="1">
      <c r="A27" s="64"/>
      <c r="B27" s="128">
        <f>+B26+B18</f>
        <v>24601429.41</v>
      </c>
      <c r="C27" s="248" t="s">
        <v>91</v>
      </c>
      <c r="D27" s="239"/>
      <c r="E27" s="65"/>
      <c r="F27" s="66">
        <f>+F26+F18</f>
        <v>1700180.63</v>
      </c>
      <c r="G27" s="1"/>
      <c r="H27" s="1"/>
      <c r="I27" s="1"/>
    </row>
    <row r="28" spans="1:9" ht="23.25">
      <c r="A28" s="35"/>
      <c r="B28" s="35"/>
      <c r="C28" s="36"/>
      <c r="D28" s="36"/>
      <c r="E28" s="37"/>
      <c r="F28" s="35"/>
      <c r="G28" s="1"/>
      <c r="H28" s="1"/>
      <c r="I28" s="1"/>
    </row>
    <row r="29" spans="1:6" ht="21.75">
      <c r="A29" s="6"/>
      <c r="B29" s="6"/>
      <c r="C29" s="7"/>
      <c r="D29" s="7"/>
      <c r="E29" s="8"/>
      <c r="F29" s="6"/>
    </row>
    <row r="30" spans="1:6" ht="21.75">
      <c r="A30" s="6"/>
      <c r="B30" s="6"/>
      <c r="C30" s="7"/>
      <c r="D30" s="7"/>
      <c r="E30" s="8"/>
      <c r="F30" s="6"/>
    </row>
    <row r="31" spans="1:6" ht="21.75">
      <c r="A31" s="6"/>
      <c r="B31" s="6"/>
      <c r="C31" s="7"/>
      <c r="D31" s="7"/>
      <c r="E31" s="8"/>
      <c r="F31" s="6"/>
    </row>
    <row r="32" spans="1:6" ht="21.75">
      <c r="A32" s="6"/>
      <c r="B32" s="6"/>
      <c r="C32" s="7"/>
      <c r="D32" s="7"/>
      <c r="E32" s="8"/>
      <c r="F32" s="6"/>
    </row>
    <row r="33" spans="1:6" ht="21.75">
      <c r="A33" s="6"/>
      <c r="B33" s="6"/>
      <c r="C33" s="7"/>
      <c r="D33" s="7"/>
      <c r="E33" s="8"/>
      <c r="F33" s="6"/>
    </row>
    <row r="34" spans="1:6" ht="21.75">
      <c r="A34" s="6"/>
      <c r="B34" s="6"/>
      <c r="C34" s="7"/>
      <c r="D34" s="7"/>
      <c r="E34" s="8"/>
      <c r="F34" s="6"/>
    </row>
  </sheetData>
  <mergeCells count="4">
    <mergeCell ref="A3:F3"/>
    <mergeCell ref="A4:F4"/>
    <mergeCell ref="A6:B6"/>
    <mergeCell ref="C27:D2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2">
      <selection activeCell="H34" sqref="H34:I34"/>
    </sheetView>
  </sheetViews>
  <sheetFormatPr defaultColWidth="9.140625" defaultRowHeight="12.75"/>
  <cols>
    <col min="1" max="1" width="13.57421875" style="0" customWidth="1"/>
    <col min="2" max="2" width="15.28125" style="0" customWidth="1"/>
    <col min="4" max="4" width="29.7109375" style="0" customWidth="1"/>
    <col min="6" max="6" width="13.7109375" style="0" customWidth="1"/>
    <col min="8" max="8" width="12.7109375" style="0" bestFit="1" customWidth="1"/>
    <col min="9" max="9" width="13.8515625" style="0" bestFit="1" customWidth="1"/>
    <col min="11" max="11" width="14.00390625" style="0" bestFit="1" customWidth="1"/>
  </cols>
  <sheetData>
    <row r="1" spans="1:10" ht="23.25">
      <c r="A1" s="240" t="s">
        <v>71</v>
      </c>
      <c r="B1" s="241"/>
      <c r="C1" s="38"/>
      <c r="D1" s="39"/>
      <c r="E1" s="40" t="s">
        <v>3</v>
      </c>
      <c r="F1" s="41" t="s">
        <v>67</v>
      </c>
      <c r="G1" s="35"/>
      <c r="H1" s="1"/>
      <c r="I1" s="1"/>
      <c r="J1" s="1"/>
    </row>
    <row r="2" spans="1:10" ht="23.25">
      <c r="A2" s="41" t="s">
        <v>72</v>
      </c>
      <c r="B2" s="41" t="s">
        <v>73</v>
      </c>
      <c r="C2" s="71" t="s">
        <v>27</v>
      </c>
      <c r="D2" s="129"/>
      <c r="E2" s="40" t="s">
        <v>6</v>
      </c>
      <c r="F2" s="41" t="s">
        <v>73</v>
      </c>
      <c r="G2" s="35"/>
      <c r="H2" s="1"/>
      <c r="I2" s="1"/>
      <c r="J2" s="1"/>
    </row>
    <row r="3" spans="1:10" ht="23.25">
      <c r="A3" s="46" t="s">
        <v>74</v>
      </c>
      <c r="B3" s="46" t="s">
        <v>74</v>
      </c>
      <c r="C3" s="47"/>
      <c r="D3" s="48"/>
      <c r="E3" s="49"/>
      <c r="F3" s="46" t="s">
        <v>74</v>
      </c>
      <c r="G3" s="35"/>
      <c r="H3" s="1"/>
      <c r="I3" s="1"/>
      <c r="J3" s="1"/>
    </row>
    <row r="4" spans="1:10" ht="23.25">
      <c r="A4" s="130"/>
      <c r="B4" s="35"/>
      <c r="C4" s="131" t="s">
        <v>92</v>
      </c>
      <c r="D4" s="132"/>
      <c r="E4" s="37"/>
      <c r="F4" s="130"/>
      <c r="G4" s="35"/>
      <c r="H4" s="1"/>
      <c r="I4" s="1"/>
      <c r="J4" s="1"/>
    </row>
    <row r="5" spans="1:10" ht="23.25">
      <c r="A5" s="67">
        <v>1700000</v>
      </c>
      <c r="B5" s="35">
        <f>570776+F5</f>
        <v>574349</v>
      </c>
      <c r="C5" s="133" t="s">
        <v>93</v>
      </c>
      <c r="D5" s="134"/>
      <c r="E5" s="135">
        <v>510000</v>
      </c>
      <c r="F5" s="54">
        <f>2261+1312</f>
        <v>3573</v>
      </c>
      <c r="G5" s="35"/>
      <c r="H5" s="1"/>
      <c r="I5" s="1"/>
      <c r="J5" s="1"/>
    </row>
    <row r="6" spans="1:10" ht="23.25">
      <c r="A6" s="67">
        <v>1682320</v>
      </c>
      <c r="B6" s="35">
        <f>1296840+F6</f>
        <v>1460700</v>
      </c>
      <c r="C6" s="133" t="s">
        <v>178</v>
      </c>
      <c r="D6" s="134"/>
      <c r="E6" s="37">
        <v>520000</v>
      </c>
      <c r="F6" s="54">
        <v>163860</v>
      </c>
      <c r="G6" s="35"/>
      <c r="H6" s="1"/>
      <c r="I6" s="1"/>
      <c r="J6" s="1"/>
    </row>
    <row r="7" spans="1:10" ht="23.25">
      <c r="A7" s="67">
        <v>4070280</v>
      </c>
      <c r="B7" s="35">
        <f>1525472+F7</f>
        <v>1765554</v>
      </c>
      <c r="C7" s="133" t="s">
        <v>179</v>
      </c>
      <c r="D7" s="134"/>
      <c r="E7" s="37"/>
      <c r="F7" s="54">
        <f>4050+236032</f>
        <v>240082</v>
      </c>
      <c r="G7" s="35"/>
      <c r="H7" s="1"/>
      <c r="I7" s="1"/>
      <c r="J7" s="1"/>
    </row>
    <row r="8" spans="1:10" ht="23.25">
      <c r="A8" s="67">
        <v>593800</v>
      </c>
      <c r="B8" s="35">
        <f>182187+F8</f>
        <v>200709</v>
      </c>
      <c r="C8" s="133" t="s">
        <v>94</v>
      </c>
      <c r="D8" s="134"/>
      <c r="E8" s="37">
        <v>531000</v>
      </c>
      <c r="F8" s="54">
        <v>18522</v>
      </c>
      <c r="G8" s="35"/>
      <c r="H8" s="5">
        <v>355646.9</v>
      </c>
      <c r="I8" s="11">
        <f>F16</f>
        <v>659850.08</v>
      </c>
      <c r="J8" s="1"/>
    </row>
    <row r="9" spans="1:10" ht="23.25">
      <c r="A9" s="67">
        <v>2816300</v>
      </c>
      <c r="B9" s="35">
        <f>786862+F9</f>
        <v>1014504</v>
      </c>
      <c r="C9" s="133" t="s">
        <v>95</v>
      </c>
      <c r="D9" s="134"/>
      <c r="E9" s="37">
        <v>532000</v>
      </c>
      <c r="F9" s="54">
        <f>9920+217722</f>
        <v>227642</v>
      </c>
      <c r="G9" s="35"/>
      <c r="H9" s="5">
        <f>SUM(H8:H8)</f>
        <v>355646.9</v>
      </c>
      <c r="I9" s="1">
        <f>SUM(I8:I8)</f>
        <v>659850.08</v>
      </c>
      <c r="J9" s="1"/>
    </row>
    <row r="10" spans="1:10" ht="23.25">
      <c r="A10" s="67">
        <v>2005900</v>
      </c>
      <c r="B10" s="35">
        <v>745451.77</v>
      </c>
      <c r="C10" s="133" t="s">
        <v>96</v>
      </c>
      <c r="D10" s="134"/>
      <c r="E10" s="37">
        <v>533000</v>
      </c>
      <c r="F10" s="54">
        <v>0</v>
      </c>
      <c r="G10" s="35"/>
      <c r="H10" s="1"/>
      <c r="I10" s="1"/>
      <c r="J10" s="1"/>
    </row>
    <row r="11" spans="1:10" ht="23.25">
      <c r="A11" s="67">
        <v>146000</v>
      </c>
      <c r="B11" s="35">
        <f>49670.2+F11</f>
        <v>55841.28</v>
      </c>
      <c r="C11" s="133" t="s">
        <v>97</v>
      </c>
      <c r="D11" s="134"/>
      <c r="E11" s="37">
        <v>534000</v>
      </c>
      <c r="F11" s="54">
        <v>6171.08</v>
      </c>
      <c r="G11" s="35"/>
      <c r="H11" s="1"/>
      <c r="I11" s="1"/>
      <c r="J11" s="1"/>
    </row>
    <row r="12" spans="1:10" ht="23.25">
      <c r="A12" s="67">
        <v>166000</v>
      </c>
      <c r="B12" s="35">
        <v>96588</v>
      </c>
      <c r="C12" s="133" t="s">
        <v>98</v>
      </c>
      <c r="D12" s="134"/>
      <c r="E12" s="37">
        <v>541000</v>
      </c>
      <c r="F12" s="59">
        <v>0</v>
      </c>
      <c r="G12" s="35"/>
      <c r="H12" s="1"/>
      <c r="I12" s="1"/>
      <c r="J12" s="1"/>
    </row>
    <row r="13" spans="1:10" ht="23.25">
      <c r="A13" s="67">
        <v>2240000</v>
      </c>
      <c r="B13" s="35">
        <f>F13</f>
        <v>0</v>
      </c>
      <c r="C13" s="133" t="s">
        <v>99</v>
      </c>
      <c r="D13" s="134"/>
      <c r="E13" s="37">
        <v>542000</v>
      </c>
      <c r="F13" s="59">
        <v>0</v>
      </c>
      <c r="G13" s="35"/>
      <c r="H13" s="1" t="s">
        <v>149</v>
      </c>
      <c r="I13" s="1"/>
      <c r="J13" s="1"/>
    </row>
    <row r="14" spans="1:10" ht="23.25">
      <c r="A14" s="67">
        <v>25000</v>
      </c>
      <c r="B14" s="35">
        <f>F14</f>
        <v>0</v>
      </c>
      <c r="C14" s="133" t="s">
        <v>100</v>
      </c>
      <c r="D14" s="134"/>
      <c r="E14" s="37">
        <v>550000</v>
      </c>
      <c r="F14" s="54">
        <v>0</v>
      </c>
      <c r="G14" s="35"/>
      <c r="H14" s="1"/>
      <c r="I14" s="1"/>
      <c r="J14" s="1"/>
    </row>
    <row r="15" spans="1:10" ht="23.25">
      <c r="A15" s="67">
        <v>1554400</v>
      </c>
      <c r="B15" s="35">
        <v>740153.88</v>
      </c>
      <c r="C15" s="133" t="s">
        <v>101</v>
      </c>
      <c r="D15" s="134"/>
      <c r="E15" s="37">
        <v>560000</v>
      </c>
      <c r="F15" s="59">
        <v>0</v>
      </c>
      <c r="G15" s="35"/>
      <c r="H15" s="1"/>
      <c r="I15" s="1"/>
      <c r="J15" s="1"/>
    </row>
    <row r="16" spans="1:10" ht="24" thickBot="1">
      <c r="A16" s="68">
        <f>SUM(A4:A15)</f>
        <v>17000000</v>
      </c>
      <c r="B16" s="61">
        <f>SUM(B5:B15)</f>
        <v>6653850.93</v>
      </c>
      <c r="C16" s="136"/>
      <c r="D16" s="137"/>
      <c r="E16" s="33"/>
      <c r="F16" s="61">
        <f>SUM(F5:F15)</f>
        <v>659850.08</v>
      </c>
      <c r="G16" s="31"/>
      <c r="H16" s="1"/>
      <c r="I16" s="1"/>
      <c r="J16" s="1"/>
    </row>
    <row r="17" spans="1:10" ht="24" thickTop="1">
      <c r="A17" s="54"/>
      <c r="B17" s="62">
        <f>222066.1+F17</f>
        <v>231291.66</v>
      </c>
      <c r="C17" s="138" t="s">
        <v>176</v>
      </c>
      <c r="D17" s="134"/>
      <c r="E17" s="37">
        <v>230000</v>
      </c>
      <c r="F17" s="54">
        <f>'หมายเหตุ 2'!F9</f>
        <v>9225.56</v>
      </c>
      <c r="G17" s="35"/>
      <c r="H17" s="1"/>
      <c r="I17" s="1"/>
      <c r="J17" s="1"/>
    </row>
    <row r="18" spans="1:10" ht="23.25">
      <c r="A18" s="54"/>
      <c r="B18" s="62">
        <f>145848+F18</f>
        <v>154648</v>
      </c>
      <c r="C18" s="138" t="s">
        <v>90</v>
      </c>
      <c r="D18" s="134"/>
      <c r="E18" s="37"/>
      <c r="F18" s="54">
        <v>8800</v>
      </c>
      <c r="G18" s="35"/>
      <c r="H18" s="1"/>
      <c r="I18" s="1"/>
      <c r="J18" s="1"/>
    </row>
    <row r="19" spans="1:10" ht="23.25">
      <c r="A19" s="54"/>
      <c r="B19" s="62">
        <v>0</v>
      </c>
      <c r="C19" s="138" t="s">
        <v>89</v>
      </c>
      <c r="D19" s="134"/>
      <c r="E19" s="37"/>
      <c r="F19" s="54">
        <v>0</v>
      </c>
      <c r="G19" s="35"/>
      <c r="H19" s="1"/>
      <c r="I19" s="1"/>
      <c r="J19" s="1"/>
    </row>
    <row r="20" spans="1:10" ht="23.25">
      <c r="A20" s="54"/>
      <c r="B20" s="62">
        <v>2178898</v>
      </c>
      <c r="C20" s="138" t="s">
        <v>13</v>
      </c>
      <c r="D20" s="134"/>
      <c r="E20" s="37"/>
      <c r="F20" s="54">
        <v>0</v>
      </c>
      <c r="G20" s="35"/>
      <c r="H20" s="1"/>
      <c r="I20" s="1"/>
      <c r="J20" s="1"/>
    </row>
    <row r="21" spans="1:10" ht="23.25">
      <c r="A21" s="54"/>
      <c r="B21" s="62">
        <v>24234</v>
      </c>
      <c r="C21" s="138" t="s">
        <v>180</v>
      </c>
      <c r="D21" s="134"/>
      <c r="E21" s="37">
        <v>210300</v>
      </c>
      <c r="F21" s="54">
        <v>0</v>
      </c>
      <c r="G21" s="35"/>
      <c r="H21" s="1"/>
      <c r="I21" s="1"/>
      <c r="J21" s="1"/>
    </row>
    <row r="22" spans="1:10" ht="23.25">
      <c r="A22" s="54"/>
      <c r="B22" s="62">
        <v>1888383.4</v>
      </c>
      <c r="C22" s="138" t="s">
        <v>181</v>
      </c>
      <c r="D22" s="134"/>
      <c r="E22" s="37">
        <v>210402</v>
      </c>
      <c r="F22" s="54">
        <v>0</v>
      </c>
      <c r="G22" s="35"/>
      <c r="H22" s="1"/>
      <c r="I22" s="1"/>
      <c r="J22" s="1"/>
    </row>
    <row r="23" spans="1:10" ht="23.25">
      <c r="A23" s="54"/>
      <c r="B23" s="62">
        <v>0</v>
      </c>
      <c r="C23" s="138" t="s">
        <v>88</v>
      </c>
      <c r="D23" s="134"/>
      <c r="E23" s="37"/>
      <c r="F23" s="54">
        <v>0</v>
      </c>
      <c r="G23" s="35"/>
      <c r="H23" s="1"/>
      <c r="I23" s="1"/>
      <c r="J23" s="1"/>
    </row>
    <row r="24" spans="1:11" ht="23.25">
      <c r="A24" s="54"/>
      <c r="B24" s="62">
        <v>1245000</v>
      </c>
      <c r="C24" s="138" t="s">
        <v>24</v>
      </c>
      <c r="D24" s="134"/>
      <c r="E24" s="37"/>
      <c r="F24" s="67">
        <v>0</v>
      </c>
      <c r="G24" s="35"/>
      <c r="H24" s="1"/>
      <c r="I24" s="11">
        <v>13721845.7</v>
      </c>
      <c r="J24" s="1"/>
      <c r="K24" s="12">
        <f>F30</f>
        <v>19383743.439999998</v>
      </c>
    </row>
    <row r="25" spans="1:11" ht="23.25">
      <c r="A25" s="54"/>
      <c r="B25" s="62">
        <f>5467204+F25</f>
        <v>6249801</v>
      </c>
      <c r="C25" s="138" t="s">
        <v>182</v>
      </c>
      <c r="D25" s="134"/>
      <c r="E25" s="37">
        <v>441000</v>
      </c>
      <c r="F25" s="67">
        <f>หมายเหตุ6!G19</f>
        <v>782597</v>
      </c>
      <c r="G25" s="35"/>
      <c r="H25" s="1"/>
      <c r="I25" s="5">
        <f>F30</f>
        <v>19383743.439999998</v>
      </c>
      <c r="J25" s="1"/>
      <c r="K25" s="12">
        <f>B30</f>
        <v>19383743.439999998</v>
      </c>
    </row>
    <row r="26" spans="1:11" ht="23.25">
      <c r="A26" s="59"/>
      <c r="B26" s="63">
        <f>B17+B18+B19+B20+B21+B22+B24+B25+B23</f>
        <v>11972256.06</v>
      </c>
      <c r="C26" s="139"/>
      <c r="D26" s="140"/>
      <c r="E26" s="37"/>
      <c r="F26" s="144">
        <f>SUM(F17:F25)</f>
        <v>800622.56</v>
      </c>
      <c r="G26" s="35"/>
      <c r="H26" s="1"/>
      <c r="I26" s="11">
        <f>I24-I25</f>
        <v>-5661897.739999998</v>
      </c>
      <c r="J26" s="1"/>
      <c r="K26" s="12">
        <f>K24-K25</f>
        <v>0</v>
      </c>
    </row>
    <row r="27" spans="1:10" ht="23.25">
      <c r="A27" s="69">
        <f>SUM(A16)</f>
        <v>17000000</v>
      </c>
      <c r="B27" s="145">
        <f>B16+B26</f>
        <v>18626106.990000002</v>
      </c>
      <c r="C27" s="248" t="s">
        <v>102</v>
      </c>
      <c r="D27" s="239"/>
      <c r="E27" s="33"/>
      <c r="F27" s="70">
        <f>F16+F26</f>
        <v>1460472.6400000001</v>
      </c>
      <c r="G27" s="31"/>
      <c r="H27" s="1"/>
      <c r="I27" s="1"/>
      <c r="J27" s="1"/>
    </row>
    <row r="28" spans="1:10" ht="23.25">
      <c r="A28" s="54"/>
      <c r="B28" s="147">
        <f>'รายรับ เม.ย.'!B27-รายจ่าย!B27</f>
        <v>5975322.419999998</v>
      </c>
      <c r="C28" s="248" t="s">
        <v>103</v>
      </c>
      <c r="D28" s="239"/>
      <c r="E28" s="37"/>
      <c r="F28" s="146">
        <f>'รายรับ เม.ย.'!F27-รายจ่าย!F27</f>
        <v>239707.98999999976</v>
      </c>
      <c r="G28" s="35"/>
      <c r="H28" s="1"/>
      <c r="I28" s="5">
        <v>16682371.75</v>
      </c>
      <c r="J28" s="1"/>
    </row>
    <row r="29" spans="1:10" ht="23.25">
      <c r="A29" s="54"/>
      <c r="B29" s="35"/>
      <c r="C29" s="141"/>
      <c r="D29" s="137"/>
      <c r="E29" s="37"/>
      <c r="F29" s="54"/>
      <c r="G29" s="35"/>
      <c r="H29" s="1"/>
      <c r="I29" s="11">
        <f>F30</f>
        <v>19383743.439999998</v>
      </c>
      <c r="J29" s="1"/>
    </row>
    <row r="30" spans="1:10" ht="24" thickBot="1">
      <c r="A30" s="54"/>
      <c r="B30" s="148">
        <f>'รายรับ เม.ย.'!B9+'รายรับ เม.ย.'!B27-รายจ่าย!B27</f>
        <v>19383743.439999998</v>
      </c>
      <c r="C30" s="248" t="s">
        <v>104</v>
      </c>
      <c r="D30" s="239"/>
      <c r="E30" s="37"/>
      <c r="F30" s="148">
        <f>'รายรับ เม.ย.'!F9+'รายรับ เม.ย.'!F27-รายจ่าย!F27</f>
        <v>19383743.439999998</v>
      </c>
      <c r="G30" s="35"/>
      <c r="H30" s="1"/>
      <c r="I30" s="11">
        <f>I29-I28</f>
        <v>2701371.6899999976</v>
      </c>
      <c r="J30" s="1"/>
    </row>
    <row r="31" spans="1:10" ht="24" thickTop="1">
      <c r="A31" s="62"/>
      <c r="B31" s="35"/>
      <c r="C31" s="142"/>
      <c r="D31" s="143"/>
      <c r="E31" s="37"/>
      <c r="F31" s="62"/>
      <c r="G31" s="35"/>
      <c r="H31" s="1"/>
      <c r="I31" s="1"/>
      <c r="J31" s="1"/>
    </row>
    <row r="32" spans="1:10" ht="23.25">
      <c r="A32" s="35" t="s">
        <v>105</v>
      </c>
      <c r="B32" s="35"/>
      <c r="C32" s="36" t="s">
        <v>106</v>
      </c>
      <c r="D32" s="36"/>
      <c r="E32" s="73" t="s">
        <v>107</v>
      </c>
      <c r="F32" s="35"/>
      <c r="G32" s="35"/>
      <c r="H32" s="1"/>
      <c r="I32" s="1"/>
      <c r="J32" s="1"/>
    </row>
    <row r="33" spans="1:10" ht="23.25">
      <c r="A33" s="242" t="s">
        <v>108</v>
      </c>
      <c r="B33" s="242"/>
      <c r="C33" s="242" t="s">
        <v>109</v>
      </c>
      <c r="D33" s="242"/>
      <c r="E33" s="242" t="s">
        <v>110</v>
      </c>
      <c r="F33" s="279"/>
      <c r="G33" s="279"/>
      <c r="H33" s="1"/>
      <c r="I33" s="11">
        <f>19410763.44-F30</f>
        <v>27020.000000003725</v>
      </c>
      <c r="J33" s="1"/>
    </row>
    <row r="34" spans="1:10" ht="23.25">
      <c r="A34" s="242" t="s">
        <v>111</v>
      </c>
      <c r="B34" s="242"/>
      <c r="C34" s="242" t="s">
        <v>112</v>
      </c>
      <c r="D34" s="242"/>
      <c r="E34" s="242" t="s">
        <v>113</v>
      </c>
      <c r="F34" s="242"/>
      <c r="G34" s="242"/>
      <c r="H34" s="1"/>
      <c r="I34" s="1"/>
      <c r="J34" s="1"/>
    </row>
    <row r="35" spans="1:10" ht="23.25">
      <c r="A35" s="88"/>
      <c r="B35" s="88"/>
      <c r="C35" s="88"/>
      <c r="D35" s="88"/>
      <c r="E35" s="88"/>
      <c r="F35" s="88"/>
      <c r="G35" s="88"/>
      <c r="H35" s="1"/>
      <c r="I35" s="1"/>
      <c r="J35" s="1"/>
    </row>
    <row r="36" spans="1:10" ht="23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10">
    <mergeCell ref="A33:B33"/>
    <mergeCell ref="C33:D33"/>
    <mergeCell ref="E33:G33"/>
    <mergeCell ref="A34:B34"/>
    <mergeCell ref="C34:D34"/>
    <mergeCell ref="E34:G34"/>
    <mergeCell ref="A1:B1"/>
    <mergeCell ref="C27:D27"/>
    <mergeCell ref="C28:D28"/>
    <mergeCell ref="C30:D3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H14" sqref="H14"/>
    </sheetView>
  </sheetViews>
  <sheetFormatPr defaultColWidth="9.140625" defaultRowHeight="12.75"/>
  <cols>
    <col min="1" max="1" width="13.57421875" style="0" customWidth="1"/>
    <col min="2" max="2" width="15.28125" style="0" customWidth="1"/>
    <col min="4" max="4" width="28.140625" style="0" customWidth="1"/>
    <col min="6" max="6" width="14.8515625" style="0" customWidth="1"/>
    <col min="8" max="8" width="12.7109375" style="0" bestFit="1" customWidth="1"/>
    <col min="9" max="9" width="13.8515625" style="0" bestFit="1" customWidth="1"/>
    <col min="11" max="11" width="14.00390625" style="0" bestFit="1" customWidth="1"/>
  </cols>
  <sheetData>
    <row r="1" spans="1:10" ht="23.25">
      <c r="A1" s="240" t="s">
        <v>71</v>
      </c>
      <c r="B1" s="241"/>
      <c r="C1" s="38"/>
      <c r="D1" s="39"/>
      <c r="E1" s="40" t="s">
        <v>3</v>
      </c>
      <c r="F1" s="41" t="s">
        <v>67</v>
      </c>
      <c r="G1" s="35"/>
      <c r="H1" s="1"/>
      <c r="I1" s="1"/>
      <c r="J1" s="1"/>
    </row>
    <row r="2" spans="1:10" ht="23.25">
      <c r="A2" s="41" t="s">
        <v>72</v>
      </c>
      <c r="B2" s="41" t="s">
        <v>73</v>
      </c>
      <c r="C2" s="71" t="s">
        <v>27</v>
      </c>
      <c r="D2" s="129"/>
      <c r="E2" s="40" t="s">
        <v>6</v>
      </c>
      <c r="F2" s="41" t="s">
        <v>73</v>
      </c>
      <c r="G2" s="35"/>
      <c r="H2" s="1"/>
      <c r="I2" s="1"/>
      <c r="J2" s="1"/>
    </row>
    <row r="3" spans="1:10" ht="23.25">
      <c r="A3" s="46" t="s">
        <v>74</v>
      </c>
      <c r="B3" s="46" t="s">
        <v>74</v>
      </c>
      <c r="C3" s="47"/>
      <c r="D3" s="48"/>
      <c r="E3" s="49"/>
      <c r="F3" s="46" t="s">
        <v>74</v>
      </c>
      <c r="G3" s="35"/>
      <c r="H3" s="1"/>
      <c r="I3" s="1"/>
      <c r="J3" s="1"/>
    </row>
    <row r="4" spans="1:10" ht="23.25">
      <c r="A4" s="130"/>
      <c r="B4" s="35"/>
      <c r="C4" s="131" t="s">
        <v>92</v>
      </c>
      <c r="D4" s="132"/>
      <c r="E4" s="37"/>
      <c r="F4" s="130"/>
      <c r="G4" s="35"/>
      <c r="H4" s="1"/>
      <c r="I4" s="1"/>
      <c r="J4" s="1"/>
    </row>
    <row r="5" spans="1:10" ht="23.25">
      <c r="A5" s="67">
        <v>1700000</v>
      </c>
      <c r="B5" s="35">
        <f>414560+F5</f>
        <v>570776</v>
      </c>
      <c r="C5" s="133" t="s">
        <v>93</v>
      </c>
      <c r="D5" s="134"/>
      <c r="E5" s="135">
        <v>510000</v>
      </c>
      <c r="F5" s="54">
        <f>30000+126216</f>
        <v>156216</v>
      </c>
      <c r="G5" s="35"/>
      <c r="H5" s="1"/>
      <c r="I5" s="1"/>
      <c r="J5" s="1"/>
    </row>
    <row r="6" spans="1:10" ht="23.25">
      <c r="A6" s="67">
        <v>1682320</v>
      </c>
      <c r="B6" s="35">
        <f>1132980+F6</f>
        <v>1296840</v>
      </c>
      <c r="C6" s="133" t="s">
        <v>178</v>
      </c>
      <c r="D6" s="134"/>
      <c r="E6" s="37">
        <v>520000</v>
      </c>
      <c r="F6" s="54">
        <v>163860</v>
      </c>
      <c r="G6" s="35"/>
      <c r="H6" s="1"/>
      <c r="I6" s="1"/>
      <c r="J6" s="1"/>
    </row>
    <row r="7" spans="1:10" ht="23.25">
      <c r="A7" s="67">
        <v>4070280</v>
      </c>
      <c r="B7" s="35">
        <f>1288352+F7</f>
        <v>1525472</v>
      </c>
      <c r="C7" s="133" t="s">
        <v>179</v>
      </c>
      <c r="D7" s="134"/>
      <c r="E7" s="37"/>
      <c r="F7" s="54">
        <v>237120</v>
      </c>
      <c r="G7" s="35"/>
      <c r="H7" s="1"/>
      <c r="I7" s="1"/>
      <c r="J7" s="1"/>
    </row>
    <row r="8" spans="1:10" ht="23.25">
      <c r="A8" s="67">
        <v>593800</v>
      </c>
      <c r="B8" s="35">
        <f>148310+F8</f>
        <v>182187</v>
      </c>
      <c r="C8" s="133" t="s">
        <v>94</v>
      </c>
      <c r="D8" s="134"/>
      <c r="E8" s="37">
        <v>531000</v>
      </c>
      <c r="F8" s="54">
        <v>33877</v>
      </c>
      <c r="G8" s="35"/>
      <c r="H8" s="5">
        <v>355646.9</v>
      </c>
      <c r="I8" s="11">
        <f>F16</f>
        <v>1507714.7500000002</v>
      </c>
      <c r="J8" s="1"/>
    </row>
    <row r="9" spans="1:10" ht="23.25">
      <c r="A9" s="67">
        <v>2816300</v>
      </c>
      <c r="B9" s="35">
        <f>563968+F9</f>
        <v>786862</v>
      </c>
      <c r="C9" s="133" t="s">
        <v>95</v>
      </c>
      <c r="D9" s="134"/>
      <c r="E9" s="37">
        <v>532000</v>
      </c>
      <c r="F9" s="54">
        <f>400+1700+2500+218294</f>
        <v>222894</v>
      </c>
      <c r="G9" s="35"/>
      <c r="H9" s="5">
        <f>SUM(H8:H8)</f>
        <v>355646.9</v>
      </c>
      <c r="I9" s="1">
        <f>SUM(I8:I8)</f>
        <v>1507714.7500000002</v>
      </c>
      <c r="J9" s="1"/>
    </row>
    <row r="10" spans="1:10" ht="23.25">
      <c r="A10" s="67">
        <v>2005900</v>
      </c>
      <c r="B10" s="35">
        <f>61788.38+F10</f>
        <v>745451.77</v>
      </c>
      <c r="C10" s="133" t="s">
        <v>96</v>
      </c>
      <c r="D10" s="134"/>
      <c r="E10" s="37">
        <v>533000</v>
      </c>
      <c r="F10" s="54">
        <v>683663.39</v>
      </c>
      <c r="G10" s="35"/>
      <c r="H10" s="1"/>
      <c r="I10" s="1"/>
      <c r="J10" s="1"/>
    </row>
    <row r="11" spans="1:10" ht="23.25">
      <c r="A11" s="67">
        <v>146000</v>
      </c>
      <c r="B11" s="35">
        <f>39585.84+F11</f>
        <v>49670.2</v>
      </c>
      <c r="C11" s="133" t="s">
        <v>97</v>
      </c>
      <c r="D11" s="134"/>
      <c r="E11" s="37">
        <v>534000</v>
      </c>
      <c r="F11" s="54">
        <v>10084.36</v>
      </c>
      <c r="G11" s="35"/>
      <c r="H11" s="1"/>
      <c r="I11" s="1"/>
      <c r="J11" s="1"/>
    </row>
    <row r="12" spans="1:10" ht="23.25">
      <c r="A12" s="67">
        <v>166000</v>
      </c>
      <c r="B12" s="35">
        <v>96588</v>
      </c>
      <c r="C12" s="133" t="s">
        <v>98</v>
      </c>
      <c r="D12" s="134"/>
      <c r="E12" s="37">
        <v>541000</v>
      </c>
      <c r="F12" s="59">
        <v>0</v>
      </c>
      <c r="G12" s="35"/>
      <c r="H12" s="1"/>
      <c r="I12" s="1"/>
      <c r="J12" s="1"/>
    </row>
    <row r="13" spans="1:10" ht="23.25">
      <c r="A13" s="67">
        <v>2240000</v>
      </c>
      <c r="B13" s="35">
        <f>F13</f>
        <v>0</v>
      </c>
      <c r="C13" s="133" t="s">
        <v>99</v>
      </c>
      <c r="D13" s="134"/>
      <c r="E13" s="37">
        <v>542000</v>
      </c>
      <c r="F13" s="59">
        <v>0</v>
      </c>
      <c r="G13" s="35"/>
      <c r="H13" s="1" t="s">
        <v>149</v>
      </c>
      <c r="I13" s="1"/>
      <c r="J13" s="1"/>
    </row>
    <row r="14" spans="1:10" ht="23.25">
      <c r="A14" s="67">
        <v>25000</v>
      </c>
      <c r="B14" s="35">
        <f>F14</f>
        <v>0</v>
      </c>
      <c r="C14" s="133" t="s">
        <v>100</v>
      </c>
      <c r="D14" s="134"/>
      <c r="E14" s="37">
        <v>550000</v>
      </c>
      <c r="F14" s="54">
        <v>0</v>
      </c>
      <c r="G14" s="35"/>
      <c r="H14" s="1"/>
      <c r="I14" s="1"/>
      <c r="J14" s="1"/>
    </row>
    <row r="15" spans="1:10" ht="23.25">
      <c r="A15" s="67">
        <v>1554400</v>
      </c>
      <c r="B15" s="35">
        <v>740153.88</v>
      </c>
      <c r="C15" s="133" t="s">
        <v>101</v>
      </c>
      <c r="D15" s="134"/>
      <c r="E15" s="37">
        <v>560000</v>
      </c>
      <c r="F15" s="59">
        <v>0</v>
      </c>
      <c r="G15" s="35"/>
      <c r="H15" s="1"/>
      <c r="I15" s="1"/>
      <c r="J15" s="1"/>
    </row>
    <row r="16" spans="1:10" ht="24" thickBot="1">
      <c r="A16" s="68">
        <f>SUM(A4:A15)</f>
        <v>17000000</v>
      </c>
      <c r="B16" s="61">
        <f>SUM(B5:B15)</f>
        <v>5994000.85</v>
      </c>
      <c r="C16" s="136"/>
      <c r="D16" s="137"/>
      <c r="E16" s="33"/>
      <c r="F16" s="61">
        <f>SUM(F5:F15)</f>
        <v>1507714.7500000002</v>
      </c>
      <c r="G16" s="31"/>
      <c r="H16" s="1"/>
      <c r="I16" s="1"/>
      <c r="J16" s="1"/>
    </row>
    <row r="17" spans="1:10" ht="24" thickTop="1">
      <c r="A17" s="54"/>
      <c r="B17" s="62">
        <f>171284.57+F17</f>
        <v>222066.1</v>
      </c>
      <c r="C17" s="138" t="s">
        <v>176</v>
      </c>
      <c r="D17" s="134"/>
      <c r="E17" s="37">
        <v>230000</v>
      </c>
      <c r="F17" s="54">
        <f>'หมายเหตุ 2เม.ย.'!F9</f>
        <v>50781.53</v>
      </c>
      <c r="G17" s="35"/>
      <c r="H17" s="1"/>
      <c r="I17" s="1"/>
      <c r="J17" s="1"/>
    </row>
    <row r="18" spans="1:10" ht="23.25">
      <c r="A18" s="54"/>
      <c r="B18" s="62">
        <f>131644+F18</f>
        <v>145848</v>
      </c>
      <c r="C18" s="138" t="s">
        <v>90</v>
      </c>
      <c r="D18" s="134"/>
      <c r="E18" s="37"/>
      <c r="F18" s="54">
        <v>14204</v>
      </c>
      <c r="G18" s="35"/>
      <c r="H18" s="1"/>
      <c r="I18" s="1"/>
      <c r="J18" s="1"/>
    </row>
    <row r="19" spans="1:10" ht="23.25">
      <c r="A19" s="54"/>
      <c r="B19" s="62">
        <v>0</v>
      </c>
      <c r="C19" s="138" t="s">
        <v>89</v>
      </c>
      <c r="D19" s="134"/>
      <c r="E19" s="37"/>
      <c r="F19" s="54">
        <v>0</v>
      </c>
      <c r="G19" s="35"/>
      <c r="H19" s="1"/>
      <c r="I19" s="1"/>
      <c r="J19" s="1"/>
    </row>
    <row r="20" spans="1:10" ht="23.25">
      <c r="A20" s="54"/>
      <c r="B20" s="62">
        <v>2178898</v>
      </c>
      <c r="C20" s="138" t="s">
        <v>13</v>
      </c>
      <c r="D20" s="134"/>
      <c r="E20" s="37"/>
      <c r="F20" s="54">
        <v>0</v>
      </c>
      <c r="G20" s="35"/>
      <c r="H20" s="1"/>
      <c r="I20" s="1"/>
      <c r="J20" s="1"/>
    </row>
    <row r="21" spans="1:10" ht="23.25">
      <c r="A21" s="54"/>
      <c r="B21" s="62">
        <v>24234</v>
      </c>
      <c r="C21" s="138" t="s">
        <v>180</v>
      </c>
      <c r="D21" s="134"/>
      <c r="E21" s="37">
        <v>210300</v>
      </c>
      <c r="F21" s="54">
        <v>0</v>
      </c>
      <c r="G21" s="35"/>
      <c r="H21" s="1"/>
      <c r="I21" s="1"/>
      <c r="J21" s="1"/>
    </row>
    <row r="22" spans="1:10" ht="23.25">
      <c r="A22" s="54"/>
      <c r="B22" s="62">
        <v>1888383.4</v>
      </c>
      <c r="C22" s="202" t="s">
        <v>181</v>
      </c>
      <c r="D22" s="134"/>
      <c r="E22" s="37">
        <v>210402</v>
      </c>
      <c r="F22" s="54">
        <v>0</v>
      </c>
      <c r="G22" s="35"/>
      <c r="H22" s="1"/>
      <c r="I22" s="1"/>
      <c r="J22" s="1"/>
    </row>
    <row r="23" spans="1:10" ht="23.25">
      <c r="A23" s="54"/>
      <c r="B23" s="62">
        <v>0</v>
      </c>
      <c r="C23" s="138" t="s">
        <v>88</v>
      </c>
      <c r="D23" s="134"/>
      <c r="E23" s="37"/>
      <c r="F23" s="54">
        <v>0</v>
      </c>
      <c r="G23" s="35"/>
      <c r="H23" s="1"/>
      <c r="I23" s="1"/>
      <c r="J23" s="1"/>
    </row>
    <row r="24" spans="1:11" ht="23.25">
      <c r="A24" s="54"/>
      <c r="B24" s="62">
        <v>1245000</v>
      </c>
      <c r="C24" s="138" t="s">
        <v>24</v>
      </c>
      <c r="D24" s="134"/>
      <c r="E24" s="37"/>
      <c r="F24" s="67">
        <v>0</v>
      </c>
      <c r="G24" s="35"/>
      <c r="H24" s="1"/>
      <c r="I24" s="11">
        <v>13721845.7</v>
      </c>
      <c r="J24" s="1"/>
      <c r="K24" s="12">
        <f>F30</f>
        <v>18065041.799999997</v>
      </c>
    </row>
    <row r="25" spans="1:11" ht="23.25">
      <c r="A25" s="54"/>
      <c r="B25" s="62">
        <f>4260730+F25</f>
        <v>5467204</v>
      </c>
      <c r="C25" s="138" t="s">
        <v>182</v>
      </c>
      <c r="D25" s="134"/>
      <c r="E25" s="37">
        <v>441000</v>
      </c>
      <c r="F25" s="67">
        <f>'หมายเหตุ6 เม.ย.'!G19</f>
        <v>1206474</v>
      </c>
      <c r="G25" s="35"/>
      <c r="H25" s="1"/>
      <c r="I25" s="5">
        <f>F30</f>
        <v>18065041.799999997</v>
      </c>
      <c r="J25" s="1"/>
      <c r="K25" s="12">
        <f>B30</f>
        <v>20844216.08</v>
      </c>
    </row>
    <row r="26" spans="1:11" ht="23.25">
      <c r="A26" s="59"/>
      <c r="B26" s="63">
        <f>B17+B18+B19+B20+B21+B22+B24+B25+B23</f>
        <v>11171633.5</v>
      </c>
      <c r="C26" s="139"/>
      <c r="D26" s="140"/>
      <c r="E26" s="37"/>
      <c r="F26" s="144">
        <f>SUM(F17:F25)</f>
        <v>1271459.53</v>
      </c>
      <c r="G26" s="35"/>
      <c r="H26" s="1"/>
      <c r="I26" s="11">
        <f>I24-I25</f>
        <v>-4343196.099999998</v>
      </c>
      <c r="J26" s="1"/>
      <c r="K26" s="12">
        <f>K24-K25</f>
        <v>-2779174.280000001</v>
      </c>
    </row>
    <row r="27" spans="1:10" ht="23.25">
      <c r="A27" s="69">
        <f>SUM(A16)</f>
        <v>17000000</v>
      </c>
      <c r="B27" s="145">
        <f>B16+B26</f>
        <v>17165634.35</v>
      </c>
      <c r="C27" s="248" t="s">
        <v>102</v>
      </c>
      <c r="D27" s="239"/>
      <c r="E27" s="33"/>
      <c r="F27" s="70">
        <f>F16+F26</f>
        <v>2779174.2800000003</v>
      </c>
      <c r="G27" s="31"/>
      <c r="H27" s="1"/>
      <c r="I27" s="1"/>
      <c r="J27" s="1"/>
    </row>
    <row r="28" spans="1:10" ht="23.25">
      <c r="A28" s="54"/>
      <c r="B28" s="147">
        <f>รายรับ!B27-'รายจ่าย เม.ย.'!B27</f>
        <v>-462204.3500000015</v>
      </c>
      <c r="C28" s="248" t="s">
        <v>103</v>
      </c>
      <c r="D28" s="239"/>
      <c r="E28" s="37"/>
      <c r="F28" s="146">
        <f>รายรับ!F27-'รายจ่าย เม.ย.'!F27</f>
        <v>4497782.55</v>
      </c>
      <c r="G28" s="35"/>
      <c r="H28" s="1"/>
      <c r="I28" s="5">
        <v>16682371.75</v>
      </c>
      <c r="J28" s="1"/>
    </row>
    <row r="29" spans="1:10" ht="23.25">
      <c r="A29" s="54"/>
      <c r="B29" s="35"/>
      <c r="C29" s="141"/>
      <c r="D29" s="137"/>
      <c r="E29" s="37"/>
      <c r="F29" s="54"/>
      <c r="G29" s="35"/>
      <c r="H29" s="1"/>
      <c r="I29" s="11">
        <f>F30</f>
        <v>18065041.799999997</v>
      </c>
      <c r="J29" s="1"/>
    </row>
    <row r="30" spans="1:10" ht="24" thickBot="1">
      <c r="A30" s="54"/>
      <c r="B30" s="148">
        <f>'รายรับ เม.ย.'!B9+'รายรับ เม.ย.'!B27-'รายจ่าย เม.ย.'!B27</f>
        <v>20844216.08</v>
      </c>
      <c r="C30" s="248" t="s">
        <v>104</v>
      </c>
      <c r="D30" s="239"/>
      <c r="E30" s="37"/>
      <c r="F30" s="148">
        <f>'รายรับ เม.ย.'!F9+'รายรับ เม.ย.'!F27-'รายจ่าย เม.ย.'!F27</f>
        <v>18065041.799999997</v>
      </c>
      <c r="G30" s="35"/>
      <c r="H30" s="1"/>
      <c r="I30" s="11">
        <f>I29-I28</f>
        <v>1382670.049999997</v>
      </c>
      <c r="J30" s="1"/>
    </row>
    <row r="31" spans="1:10" ht="24" thickTop="1">
      <c r="A31" s="62"/>
      <c r="B31" s="35"/>
      <c r="C31" s="142"/>
      <c r="D31" s="143"/>
      <c r="E31" s="37"/>
      <c r="F31" s="62"/>
      <c r="G31" s="35"/>
      <c r="H31" s="1"/>
      <c r="I31" s="1"/>
      <c r="J31" s="1"/>
    </row>
    <row r="32" spans="1:10" ht="23.25">
      <c r="A32" s="35" t="s">
        <v>105</v>
      </c>
      <c r="B32" s="35"/>
      <c r="C32" s="36" t="s">
        <v>106</v>
      </c>
      <c r="D32" s="36"/>
      <c r="E32" s="73" t="s">
        <v>107</v>
      </c>
      <c r="F32" s="35"/>
      <c r="G32" s="35"/>
      <c r="H32" s="1"/>
      <c r="I32" s="1"/>
      <c r="J32" s="1"/>
    </row>
    <row r="33" spans="1:10" ht="23.25">
      <c r="A33" s="242" t="s">
        <v>108</v>
      </c>
      <c r="B33" s="242"/>
      <c r="C33" s="242" t="s">
        <v>109</v>
      </c>
      <c r="D33" s="242"/>
      <c r="E33" s="242" t="s">
        <v>110</v>
      </c>
      <c r="F33" s="279"/>
      <c r="G33" s="279"/>
      <c r="H33" s="1"/>
      <c r="I33" s="1"/>
      <c r="J33" s="1"/>
    </row>
    <row r="34" spans="1:10" ht="23.25">
      <c r="A34" s="242" t="s">
        <v>111</v>
      </c>
      <c r="B34" s="242"/>
      <c r="C34" s="242" t="s">
        <v>112</v>
      </c>
      <c r="D34" s="242"/>
      <c r="E34" s="242" t="s">
        <v>113</v>
      </c>
      <c r="F34" s="242"/>
      <c r="G34" s="242"/>
      <c r="H34" s="1"/>
      <c r="I34" s="1"/>
      <c r="J34" s="1"/>
    </row>
    <row r="35" spans="1:10" ht="23.25">
      <c r="A35" s="88"/>
      <c r="B35" s="88"/>
      <c r="C35" s="88"/>
      <c r="D35" s="88"/>
      <c r="E35" s="88"/>
      <c r="F35" s="88"/>
      <c r="G35" s="88"/>
      <c r="H35" s="1"/>
      <c r="I35" s="1"/>
      <c r="J35" s="1"/>
    </row>
    <row r="36" spans="1:10" ht="23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10">
    <mergeCell ref="A1:B1"/>
    <mergeCell ref="C27:D27"/>
    <mergeCell ref="C28:D28"/>
    <mergeCell ref="C30:D30"/>
    <mergeCell ref="A33:B33"/>
    <mergeCell ref="C33:D33"/>
    <mergeCell ref="E33:G33"/>
    <mergeCell ref="A34:B34"/>
    <mergeCell ref="C34:D34"/>
    <mergeCell ref="E34:G3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1">
      <selection activeCell="H75" sqref="H75"/>
    </sheetView>
  </sheetViews>
  <sheetFormatPr defaultColWidth="9.140625" defaultRowHeight="12.75"/>
  <cols>
    <col min="1" max="1" width="9.57421875" style="0" bestFit="1" customWidth="1"/>
    <col min="2" max="2" width="16.8515625" style="0" customWidth="1"/>
    <col min="3" max="3" width="23.00390625" style="0" customWidth="1"/>
    <col min="4" max="4" width="13.421875" style="0" customWidth="1"/>
    <col min="5" max="5" width="29.28125" style="0" customWidth="1"/>
    <col min="7" max="8" width="13.8515625" style="0" bestFit="1" customWidth="1"/>
    <col min="9" max="9" width="9.28125" style="0" bestFit="1" customWidth="1"/>
  </cols>
  <sheetData>
    <row r="1" ht="21" customHeight="1"/>
    <row r="2" spans="1:8" ht="23.25">
      <c r="A2" s="149" t="s">
        <v>114</v>
      </c>
      <c r="B2" s="150"/>
      <c r="C2" s="151"/>
      <c r="D2" s="149" t="s">
        <v>115</v>
      </c>
      <c r="E2" s="152"/>
      <c r="F2" s="1"/>
      <c r="G2" s="1"/>
      <c r="H2" s="1"/>
    </row>
    <row r="3" spans="1:8" ht="23.25">
      <c r="A3" s="153" t="s">
        <v>116</v>
      </c>
      <c r="B3" s="154"/>
      <c r="C3" s="155"/>
      <c r="D3" s="153" t="s">
        <v>183</v>
      </c>
      <c r="E3" s="156"/>
      <c r="F3" s="1"/>
      <c r="G3" s="1"/>
      <c r="H3" s="1"/>
    </row>
    <row r="4" spans="1:8" ht="23.25">
      <c r="A4" s="157"/>
      <c r="B4" s="158"/>
      <c r="C4" s="159"/>
      <c r="D4" s="160"/>
      <c r="E4" s="161" t="s">
        <v>117</v>
      </c>
      <c r="F4" s="1"/>
      <c r="G4" s="1"/>
      <c r="H4" s="1"/>
    </row>
    <row r="5" spans="1:8" ht="11.25" customHeight="1">
      <c r="A5" s="18"/>
      <c r="B5" s="27"/>
      <c r="C5" s="162"/>
      <c r="D5" s="81"/>
      <c r="E5" s="21"/>
      <c r="F5" s="1"/>
      <c r="G5" s="1"/>
      <c r="H5" s="1"/>
    </row>
    <row r="6" spans="1:8" ht="23.25">
      <c r="A6" s="163" t="s">
        <v>184</v>
      </c>
      <c r="B6" s="164"/>
      <c r="C6" s="165"/>
      <c r="D6" s="166"/>
      <c r="E6" s="167">
        <v>15963324.2</v>
      </c>
      <c r="F6" s="1"/>
      <c r="G6" s="1"/>
      <c r="H6" s="1"/>
    </row>
    <row r="7" spans="1:8" ht="23.25">
      <c r="A7" s="18" t="s">
        <v>118</v>
      </c>
      <c r="B7" s="27"/>
      <c r="C7" s="162"/>
      <c r="D7" s="81"/>
      <c r="E7" s="21"/>
      <c r="F7" s="1"/>
      <c r="G7" s="1"/>
      <c r="H7" s="1"/>
    </row>
    <row r="8" spans="1:8" ht="23.25">
      <c r="A8" s="168"/>
      <c r="B8" s="169" t="s">
        <v>119</v>
      </c>
      <c r="C8" s="170" t="s">
        <v>120</v>
      </c>
      <c r="D8" s="171" t="s">
        <v>121</v>
      </c>
      <c r="E8" s="172"/>
      <c r="F8" s="1"/>
      <c r="G8" s="11">
        <f>E6-E24</f>
        <v>15864538.42</v>
      </c>
      <c r="H8" s="1"/>
    </row>
    <row r="9" spans="1:8" ht="23.25">
      <c r="A9" s="168"/>
      <c r="B9" s="169"/>
      <c r="C9" s="170"/>
      <c r="D9" s="171"/>
      <c r="E9" s="172"/>
      <c r="F9" s="1"/>
      <c r="G9" s="1"/>
      <c r="H9" s="1"/>
    </row>
    <row r="10" spans="1:8" ht="23.25">
      <c r="A10" s="18"/>
      <c r="B10" s="173"/>
      <c r="C10" s="173"/>
      <c r="D10" s="174"/>
      <c r="E10" s="21"/>
      <c r="F10" s="1"/>
      <c r="G10" s="1"/>
      <c r="H10" s="1"/>
    </row>
    <row r="11" spans="1:8" ht="23.25">
      <c r="A11" s="18" t="s">
        <v>122</v>
      </c>
      <c r="B11" s="27"/>
      <c r="C11" s="162"/>
      <c r="D11" s="81"/>
      <c r="E11" s="21"/>
      <c r="F11" s="1"/>
      <c r="G11" s="11">
        <f>G8+D28</f>
        <v>16222517.92</v>
      </c>
      <c r="H11" s="1"/>
    </row>
    <row r="12" spans="1:8" ht="23.25">
      <c r="A12" s="175"/>
      <c r="B12" s="173" t="s">
        <v>123</v>
      </c>
      <c r="C12" s="173" t="s">
        <v>124</v>
      </c>
      <c r="D12" s="174" t="s">
        <v>121</v>
      </c>
      <c r="E12" s="176"/>
      <c r="F12" s="1"/>
      <c r="G12" s="11">
        <f>G11-D27</f>
        <v>16195591.98</v>
      </c>
      <c r="H12" s="1"/>
    </row>
    <row r="13" spans="1:8" ht="23.25">
      <c r="A13" s="18"/>
      <c r="B13" s="177">
        <v>238701</v>
      </c>
      <c r="C13" s="178" t="s">
        <v>125</v>
      </c>
      <c r="D13" s="176">
        <v>930</v>
      </c>
      <c r="E13" s="179"/>
      <c r="F13" s="1"/>
      <c r="G13" s="1"/>
      <c r="H13" s="1"/>
    </row>
    <row r="14" spans="1:8" ht="23.25">
      <c r="A14" s="18"/>
      <c r="B14" s="195">
        <v>238979</v>
      </c>
      <c r="C14" s="178" t="s">
        <v>185</v>
      </c>
      <c r="D14" s="176">
        <v>1000</v>
      </c>
      <c r="E14" s="179"/>
      <c r="F14" s="1"/>
      <c r="G14" s="1"/>
      <c r="H14" s="1"/>
    </row>
    <row r="15" spans="1:8" ht="23.25">
      <c r="A15" s="18"/>
      <c r="B15" s="195">
        <v>239227</v>
      </c>
      <c r="C15" s="178" t="s">
        <v>186</v>
      </c>
      <c r="D15" s="176">
        <v>1750</v>
      </c>
      <c r="E15" s="179"/>
      <c r="F15" s="1"/>
      <c r="G15" s="1"/>
      <c r="H15" s="11">
        <f>E6-E24+D27+D28</f>
        <v>16249443.86</v>
      </c>
    </row>
    <row r="16" spans="1:8" ht="23.25">
      <c r="A16" s="18"/>
      <c r="B16" s="195">
        <v>239227</v>
      </c>
      <c r="C16" s="178" t="s">
        <v>187</v>
      </c>
      <c r="D16" s="173">
        <v>4975</v>
      </c>
      <c r="E16" s="180"/>
      <c r="F16" s="1"/>
      <c r="G16" s="1"/>
      <c r="H16" s="11">
        <f>16195591.98-H15</f>
        <v>-53851.87999999896</v>
      </c>
    </row>
    <row r="17" spans="1:8" ht="23.25">
      <c r="A17" s="18"/>
      <c r="B17" s="195">
        <v>239310</v>
      </c>
      <c r="C17" s="178" t="s">
        <v>188</v>
      </c>
      <c r="D17" s="173">
        <v>19750.5</v>
      </c>
      <c r="E17" s="180"/>
      <c r="F17" s="1"/>
      <c r="G17" s="1"/>
      <c r="H17" s="1"/>
    </row>
    <row r="18" spans="1:8" ht="23.25">
      <c r="A18" s="18"/>
      <c r="B18" s="195">
        <v>239315</v>
      </c>
      <c r="C18" s="178" t="s">
        <v>189</v>
      </c>
      <c r="D18" s="173">
        <v>5110</v>
      </c>
      <c r="E18" s="180"/>
      <c r="F18" s="1"/>
      <c r="G18" s="1"/>
      <c r="H18" s="1"/>
    </row>
    <row r="19" spans="1:8" ht="23.25">
      <c r="A19" s="18"/>
      <c r="B19" s="195">
        <v>239315</v>
      </c>
      <c r="C19" s="178" t="s">
        <v>190</v>
      </c>
      <c r="D19" s="173">
        <v>5270.28</v>
      </c>
      <c r="E19" s="180"/>
      <c r="F19" s="1"/>
      <c r="G19" s="1"/>
      <c r="H19" s="1"/>
    </row>
    <row r="20" spans="1:8" ht="23.25">
      <c r="A20" s="18"/>
      <c r="B20" s="195">
        <v>239324</v>
      </c>
      <c r="C20" s="178" t="s">
        <v>191</v>
      </c>
      <c r="D20" s="173">
        <v>60000</v>
      </c>
      <c r="E20" s="180"/>
      <c r="F20" s="1"/>
      <c r="G20" s="1"/>
      <c r="H20" s="1"/>
    </row>
    <row r="21" spans="1:8" ht="23.25">
      <c r="A21" s="18"/>
      <c r="B21" s="177"/>
      <c r="C21" s="178"/>
      <c r="D21" s="173"/>
      <c r="E21" s="180"/>
      <c r="F21" s="1"/>
      <c r="G21" s="1"/>
      <c r="H21" s="1"/>
    </row>
    <row r="22" spans="1:8" ht="23.25">
      <c r="A22" s="18"/>
      <c r="B22" s="177"/>
      <c r="C22" s="178"/>
      <c r="D22" s="173"/>
      <c r="E22" s="180"/>
      <c r="F22" s="1"/>
      <c r="G22" s="1"/>
      <c r="H22" s="1"/>
    </row>
    <row r="23" spans="1:8" ht="23.25">
      <c r="A23" s="18"/>
      <c r="B23" s="177"/>
      <c r="C23" s="178"/>
      <c r="D23" s="173"/>
      <c r="E23" s="180"/>
      <c r="F23" s="1"/>
      <c r="G23" s="1"/>
      <c r="H23" s="1"/>
    </row>
    <row r="24" spans="1:8" ht="23.25">
      <c r="A24" s="18"/>
      <c r="B24" s="177"/>
      <c r="C24" s="178"/>
      <c r="D24" s="173"/>
      <c r="E24" s="180">
        <f>SUM(D13:D20)</f>
        <v>98785.78</v>
      </c>
      <c r="F24" s="1"/>
      <c r="G24" s="1"/>
      <c r="H24" s="11">
        <f>E30-16195591.98</f>
        <v>0</v>
      </c>
    </row>
    <row r="25" spans="1:8" ht="23.25">
      <c r="A25" s="18" t="s">
        <v>126</v>
      </c>
      <c r="B25" s="181"/>
      <c r="C25" s="182"/>
      <c r="D25" s="173"/>
      <c r="E25" s="82"/>
      <c r="F25" s="1"/>
      <c r="G25" s="1"/>
      <c r="H25" s="1"/>
    </row>
    <row r="26" spans="1:8" ht="23.25">
      <c r="A26" s="18"/>
      <c r="B26" s="181"/>
      <c r="C26" s="173" t="s">
        <v>127</v>
      </c>
      <c r="D26" s="176"/>
      <c r="E26" s="21"/>
      <c r="F26" s="1"/>
      <c r="G26" s="1"/>
      <c r="H26" s="1"/>
    </row>
    <row r="27" spans="1:8" ht="23.25">
      <c r="A27" s="183"/>
      <c r="B27" s="195">
        <v>239320</v>
      </c>
      <c r="C27" s="196" t="s">
        <v>193</v>
      </c>
      <c r="D27" s="176">
        <v>26925.94</v>
      </c>
      <c r="E27" s="21"/>
      <c r="F27" s="1"/>
      <c r="G27" s="1"/>
      <c r="H27" s="5">
        <f>E30</f>
        <v>16195591.98</v>
      </c>
    </row>
    <row r="28" spans="1:8" ht="23.25">
      <c r="A28" s="183"/>
      <c r="B28" s="195">
        <v>239324</v>
      </c>
      <c r="C28" s="194" t="s">
        <v>194</v>
      </c>
      <c r="D28" s="176">
        <v>357979.5</v>
      </c>
      <c r="E28" s="21">
        <f>D28-D27</f>
        <v>331053.56</v>
      </c>
      <c r="F28" s="1"/>
      <c r="G28" s="1"/>
      <c r="H28" s="5"/>
    </row>
    <row r="29" spans="1:8" ht="23.25">
      <c r="A29" s="183"/>
      <c r="B29" s="195"/>
      <c r="C29" s="194"/>
      <c r="D29" s="176"/>
      <c r="E29" s="21"/>
      <c r="F29" s="1"/>
      <c r="G29" s="1"/>
      <c r="H29" s="5"/>
    </row>
    <row r="30" spans="1:9" ht="24" thickBot="1">
      <c r="A30" s="184" t="s">
        <v>192</v>
      </c>
      <c r="B30" s="185"/>
      <c r="C30" s="186"/>
      <c r="D30" s="187"/>
      <c r="E30" s="188">
        <f>E6-E24+E28</f>
        <v>16195591.98</v>
      </c>
      <c r="F30" s="1"/>
      <c r="G30" s="1"/>
      <c r="H30" s="11">
        <v>11886145.35</v>
      </c>
      <c r="I30" s="12">
        <f>E30-H27</f>
        <v>0</v>
      </c>
    </row>
    <row r="31" spans="1:8" ht="24" thickTop="1">
      <c r="A31" s="283" t="s">
        <v>128</v>
      </c>
      <c r="B31" s="284"/>
      <c r="C31" s="285"/>
      <c r="D31" s="283" t="s">
        <v>129</v>
      </c>
      <c r="E31" s="286"/>
      <c r="F31" s="1"/>
      <c r="G31" s="1"/>
      <c r="H31" s="11">
        <f>H30-H27</f>
        <v>-4309446.630000001</v>
      </c>
    </row>
    <row r="32" spans="1:8" ht="23.25">
      <c r="A32" s="190"/>
      <c r="B32" s="191"/>
      <c r="C32" s="189"/>
      <c r="D32" s="190"/>
      <c r="E32" s="189"/>
      <c r="F32" s="1"/>
      <c r="G32" s="1"/>
      <c r="H32" s="1"/>
    </row>
    <row r="33" spans="1:8" ht="23.25">
      <c r="A33" s="192" t="s">
        <v>130</v>
      </c>
      <c r="B33" s="191"/>
      <c r="C33" s="193" t="s">
        <v>195</v>
      </c>
      <c r="D33" s="175" t="s">
        <v>145</v>
      </c>
      <c r="E33" s="193" t="s">
        <v>195</v>
      </c>
      <c r="F33" s="1"/>
      <c r="G33" s="1"/>
      <c r="H33" s="1"/>
    </row>
    <row r="34" spans="1:8" ht="23.25">
      <c r="A34" s="287" t="s">
        <v>131</v>
      </c>
      <c r="B34" s="288"/>
      <c r="C34" s="289"/>
      <c r="D34" s="287" t="s">
        <v>108</v>
      </c>
      <c r="E34" s="289"/>
      <c r="F34" s="1"/>
      <c r="G34" s="1"/>
      <c r="H34" s="1"/>
    </row>
    <row r="35" spans="1:8" ht="23.25">
      <c r="A35" s="280" t="s">
        <v>137</v>
      </c>
      <c r="B35" s="281"/>
      <c r="C35" s="282"/>
      <c r="D35" s="280" t="s">
        <v>132</v>
      </c>
      <c r="E35" s="282"/>
      <c r="F35" s="1"/>
      <c r="G35" s="1"/>
      <c r="H35" s="9" t="s">
        <v>147</v>
      </c>
    </row>
    <row r="36" spans="1:8" ht="23.25">
      <c r="A36" s="1"/>
      <c r="B36" s="1"/>
      <c r="C36" s="1"/>
      <c r="D36" s="1"/>
      <c r="E36" s="1"/>
      <c r="F36" s="1"/>
      <c r="G36" s="1"/>
      <c r="H36" s="1"/>
    </row>
    <row r="38" ht="21.75" customHeight="1"/>
    <row r="39" ht="17.25" customHeight="1"/>
    <row r="40" spans="1:5" ht="21">
      <c r="A40" s="149" t="s">
        <v>114</v>
      </c>
      <c r="B40" s="150"/>
      <c r="C40" s="151"/>
      <c r="D40" s="149" t="s">
        <v>115</v>
      </c>
      <c r="E40" s="152"/>
    </row>
    <row r="41" spans="1:5" ht="21">
      <c r="A41" s="153" t="s">
        <v>116</v>
      </c>
      <c r="B41" s="154"/>
      <c r="C41" s="155"/>
      <c r="D41" s="153" t="s">
        <v>196</v>
      </c>
      <c r="E41" s="156"/>
    </row>
    <row r="42" spans="1:5" ht="21">
      <c r="A42" s="157"/>
      <c r="B42" s="158"/>
      <c r="C42" s="159"/>
      <c r="D42" s="160"/>
      <c r="E42" s="161" t="s">
        <v>117</v>
      </c>
    </row>
    <row r="43" spans="1:5" ht="21">
      <c r="A43" s="18"/>
      <c r="B43" s="27"/>
      <c r="C43" s="162"/>
      <c r="D43" s="81"/>
      <c r="E43" s="21"/>
    </row>
    <row r="44" spans="1:5" ht="21">
      <c r="A44" s="163" t="s">
        <v>184</v>
      </c>
      <c r="B44" s="164"/>
      <c r="C44" s="165"/>
      <c r="D44" s="166"/>
      <c r="E44" s="167">
        <v>192074.79</v>
      </c>
    </row>
    <row r="45" spans="1:5" ht="21">
      <c r="A45" s="18" t="s">
        <v>118</v>
      </c>
      <c r="B45" s="27"/>
      <c r="C45" s="162"/>
      <c r="D45" s="81"/>
      <c r="E45" s="21"/>
    </row>
    <row r="46" spans="1:5" ht="21">
      <c r="A46" s="168"/>
      <c r="B46" s="169" t="s">
        <v>119</v>
      </c>
      <c r="C46" s="170" t="s">
        <v>120</v>
      </c>
      <c r="D46" s="171" t="s">
        <v>121</v>
      </c>
      <c r="E46" s="172"/>
    </row>
    <row r="47" spans="1:5" ht="21">
      <c r="A47" s="168"/>
      <c r="B47" s="169"/>
      <c r="C47" s="170"/>
      <c r="D47" s="171"/>
      <c r="E47" s="172"/>
    </row>
    <row r="48" spans="1:5" ht="21">
      <c r="A48" s="18"/>
      <c r="B48" s="173"/>
      <c r="C48" s="173"/>
      <c r="D48" s="174"/>
      <c r="E48" s="21"/>
    </row>
    <row r="49" spans="1:5" ht="21">
      <c r="A49" s="18" t="s">
        <v>122</v>
      </c>
      <c r="B49" s="27"/>
      <c r="C49" s="162"/>
      <c r="D49" s="81"/>
      <c r="E49" s="21"/>
    </row>
    <row r="50" spans="1:5" ht="21">
      <c r="A50" s="175"/>
      <c r="B50" s="173" t="s">
        <v>123</v>
      </c>
      <c r="C50" s="173" t="s">
        <v>124</v>
      </c>
      <c r="D50" s="174" t="s">
        <v>121</v>
      </c>
      <c r="E50" s="176"/>
    </row>
    <row r="51" spans="1:5" ht="23.25">
      <c r="A51" s="18"/>
      <c r="B51" s="177"/>
      <c r="C51" s="178"/>
      <c r="D51" s="176"/>
      <c r="E51" s="179"/>
    </row>
    <row r="52" spans="1:5" ht="23.25">
      <c r="A52" s="18"/>
      <c r="B52" s="195"/>
      <c r="C52" s="178"/>
      <c r="D52" s="176"/>
      <c r="E52" s="179"/>
    </row>
    <row r="53" spans="1:5" ht="23.25">
      <c r="A53" s="18"/>
      <c r="B53" s="195"/>
      <c r="C53" s="178"/>
      <c r="D53" s="176"/>
      <c r="E53" s="179"/>
    </row>
    <row r="54" spans="1:5" ht="23.25">
      <c r="A54" s="18"/>
      <c r="B54" s="195"/>
      <c r="C54" s="178"/>
      <c r="D54" s="173"/>
      <c r="E54" s="180"/>
    </row>
    <row r="55" spans="1:5" ht="23.25">
      <c r="A55" s="18"/>
      <c r="B55" s="195"/>
      <c r="C55" s="178"/>
      <c r="D55" s="173"/>
      <c r="E55" s="180"/>
    </row>
    <row r="56" spans="1:5" ht="23.25">
      <c r="A56" s="18"/>
      <c r="B56" s="195"/>
      <c r="C56" s="178"/>
      <c r="D56" s="173"/>
      <c r="E56" s="180"/>
    </row>
    <row r="57" spans="1:5" ht="23.25">
      <c r="A57" s="18"/>
      <c r="B57" s="195"/>
      <c r="C57" s="178"/>
      <c r="D57" s="173"/>
      <c r="E57" s="180"/>
    </row>
    <row r="58" spans="1:5" ht="23.25">
      <c r="A58" s="18"/>
      <c r="B58" s="177"/>
      <c r="C58" s="178"/>
      <c r="D58" s="173"/>
      <c r="E58" s="180"/>
    </row>
    <row r="59" spans="1:5" ht="23.25">
      <c r="A59" s="18"/>
      <c r="B59" s="177"/>
      <c r="C59" s="178"/>
      <c r="D59" s="173"/>
      <c r="E59" s="180"/>
    </row>
    <row r="60" spans="1:5" ht="23.25">
      <c r="A60" s="18"/>
      <c r="B60" s="177"/>
      <c r="C60" s="178"/>
      <c r="D60" s="173"/>
      <c r="E60" s="180"/>
    </row>
    <row r="61" spans="1:5" ht="23.25">
      <c r="A61" s="18"/>
      <c r="B61" s="177"/>
      <c r="C61" s="178"/>
      <c r="D61" s="173"/>
      <c r="E61" s="180">
        <f>SUM(D51:D57)</f>
        <v>0</v>
      </c>
    </row>
    <row r="62" spans="1:5" ht="21">
      <c r="A62" s="18" t="s">
        <v>126</v>
      </c>
      <c r="B62" s="181"/>
      <c r="C62" s="182"/>
      <c r="D62" s="173"/>
      <c r="E62" s="82"/>
    </row>
    <row r="63" spans="1:5" ht="21">
      <c r="A63" s="18"/>
      <c r="B63" s="181"/>
      <c r="C63" s="173" t="s">
        <v>127</v>
      </c>
      <c r="D63" s="176"/>
      <c r="E63" s="21"/>
    </row>
    <row r="64" spans="1:5" ht="21">
      <c r="A64" s="183"/>
      <c r="B64" s="195">
        <v>239320</v>
      </c>
      <c r="C64" s="196" t="s">
        <v>193</v>
      </c>
      <c r="D64" s="176">
        <v>721.14</v>
      </c>
      <c r="E64" s="21"/>
    </row>
    <row r="65" spans="1:5" ht="21">
      <c r="A65" s="183"/>
      <c r="B65" s="195"/>
      <c r="C65" s="194"/>
      <c r="D65" s="176"/>
      <c r="E65" s="21">
        <f>D65-D64</f>
        <v>-721.14</v>
      </c>
    </row>
    <row r="66" spans="1:5" ht="21">
      <c r="A66" s="183"/>
      <c r="B66" s="195"/>
      <c r="C66" s="194"/>
      <c r="D66" s="176"/>
      <c r="E66" s="21"/>
    </row>
    <row r="67" spans="1:5" ht="24" thickBot="1">
      <c r="A67" s="184" t="s">
        <v>192</v>
      </c>
      <c r="B67" s="185"/>
      <c r="C67" s="186"/>
      <c r="D67" s="187"/>
      <c r="E67" s="188">
        <f>E44-E61+E65</f>
        <v>191353.65</v>
      </c>
    </row>
    <row r="68" spans="1:5" ht="21.75" thickTop="1">
      <c r="A68" s="283" t="s">
        <v>128</v>
      </c>
      <c r="B68" s="284"/>
      <c r="C68" s="285"/>
      <c r="D68" s="283" t="s">
        <v>129</v>
      </c>
      <c r="E68" s="286"/>
    </row>
    <row r="69" spans="1:5" ht="21">
      <c r="A69" s="190"/>
      <c r="B69" s="191"/>
      <c r="C69" s="189"/>
      <c r="D69" s="190"/>
      <c r="E69" s="189"/>
    </row>
    <row r="70" spans="1:5" ht="21">
      <c r="A70" s="192" t="s">
        <v>130</v>
      </c>
      <c r="B70" s="191"/>
      <c r="C70" s="193" t="s">
        <v>195</v>
      </c>
      <c r="D70" s="175" t="s">
        <v>145</v>
      </c>
      <c r="E70" s="193" t="s">
        <v>195</v>
      </c>
    </row>
    <row r="71" spans="1:5" ht="21">
      <c r="A71" s="287" t="s">
        <v>131</v>
      </c>
      <c r="B71" s="288"/>
      <c r="C71" s="289"/>
      <c r="D71" s="287" t="s">
        <v>108</v>
      </c>
      <c r="E71" s="289"/>
    </row>
    <row r="72" spans="1:5" ht="21">
      <c r="A72" s="280" t="s">
        <v>137</v>
      </c>
      <c r="B72" s="281"/>
      <c r="C72" s="282"/>
      <c r="D72" s="280" t="s">
        <v>132</v>
      </c>
      <c r="E72" s="282"/>
    </row>
  </sheetData>
  <mergeCells count="12">
    <mergeCell ref="A72:C72"/>
    <mergeCell ref="D72:E72"/>
    <mergeCell ref="A68:C68"/>
    <mergeCell ref="D68:E68"/>
    <mergeCell ref="A71:C71"/>
    <mergeCell ref="D71:E71"/>
    <mergeCell ref="A35:C35"/>
    <mergeCell ref="D35:E35"/>
    <mergeCell ref="A31:C31"/>
    <mergeCell ref="D31:E31"/>
    <mergeCell ref="A34:C34"/>
    <mergeCell ref="D34:E34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75"/>
  <sheetViews>
    <sheetView tabSelected="1" workbookViewId="0" topLeftCell="A31">
      <selection activeCell="G46" sqref="G46"/>
    </sheetView>
  </sheetViews>
  <sheetFormatPr defaultColWidth="9.140625" defaultRowHeight="12.75"/>
  <cols>
    <col min="1" max="1" width="9.57421875" style="0" bestFit="1" customWidth="1"/>
    <col min="2" max="2" width="15.7109375" style="0" bestFit="1" customWidth="1"/>
    <col min="3" max="4" width="18.28125" style="0" customWidth="1"/>
    <col min="5" max="5" width="29.28125" style="0" customWidth="1"/>
    <col min="7" max="8" width="13.8515625" style="0" bestFit="1" customWidth="1"/>
    <col min="9" max="9" width="14.00390625" style="0" bestFit="1" customWidth="1"/>
  </cols>
  <sheetData>
    <row r="3" spans="1:8" ht="21" customHeight="1">
      <c r="A3" s="215" t="s">
        <v>114</v>
      </c>
      <c r="B3" s="216"/>
      <c r="C3" s="217"/>
      <c r="D3" s="215" t="s">
        <v>115</v>
      </c>
      <c r="E3" s="218"/>
      <c r="F3" s="1"/>
      <c r="G3" s="1"/>
      <c r="H3" s="1"/>
    </row>
    <row r="4" spans="1:8" ht="21.75" customHeight="1">
      <c r="A4" s="219" t="s">
        <v>116</v>
      </c>
      <c r="B4" s="220"/>
      <c r="C4" s="221"/>
      <c r="D4" s="219" t="s">
        <v>183</v>
      </c>
      <c r="E4" s="222"/>
      <c r="F4" s="1"/>
      <c r="G4" s="1"/>
      <c r="H4" s="1"/>
    </row>
    <row r="5" spans="1:8" ht="16.5" customHeight="1">
      <c r="A5" s="157"/>
      <c r="B5" s="158"/>
      <c r="C5" s="159"/>
      <c r="D5" s="160"/>
      <c r="E5" s="236" t="s">
        <v>117</v>
      </c>
      <c r="F5" s="1"/>
      <c r="G5" s="1"/>
      <c r="H5" s="1"/>
    </row>
    <row r="6" spans="1:8" ht="20.25" customHeight="1">
      <c r="A6" s="223" t="s">
        <v>214</v>
      </c>
      <c r="B6" s="224"/>
      <c r="C6" s="225"/>
      <c r="D6" s="226"/>
      <c r="E6" s="227">
        <v>14469456.79</v>
      </c>
      <c r="F6" s="1"/>
      <c r="G6" s="1"/>
      <c r="H6" s="1"/>
    </row>
    <row r="7" spans="1:8" ht="23.25">
      <c r="A7" s="102" t="s">
        <v>118</v>
      </c>
      <c r="B7" s="27"/>
      <c r="C7" s="162"/>
      <c r="D7" s="81"/>
      <c r="E7" s="21"/>
      <c r="F7" s="1"/>
      <c r="G7" s="1"/>
      <c r="H7" s="1"/>
    </row>
    <row r="8" spans="1:8" ht="23.25">
      <c r="A8" s="168"/>
      <c r="B8" s="210" t="s">
        <v>119</v>
      </c>
      <c r="C8" s="211" t="s">
        <v>120</v>
      </c>
      <c r="D8" s="212" t="s">
        <v>121</v>
      </c>
      <c r="E8" s="172"/>
      <c r="F8" s="1"/>
      <c r="G8" s="11">
        <f>E6-E29</f>
        <v>14458851.79</v>
      </c>
      <c r="H8" s="1"/>
    </row>
    <row r="9" spans="1:8" ht="10.5" customHeight="1">
      <c r="A9" s="168"/>
      <c r="B9" s="169"/>
      <c r="C9" s="170"/>
      <c r="D9" s="171"/>
      <c r="E9" s="172"/>
      <c r="F9" s="1"/>
      <c r="G9" s="1"/>
      <c r="H9" s="1"/>
    </row>
    <row r="10" spans="1:9" ht="23.25" customHeight="1">
      <c r="A10" s="102" t="s">
        <v>122</v>
      </c>
      <c r="B10" s="228"/>
      <c r="C10" s="229"/>
      <c r="D10" s="81"/>
      <c r="E10" s="21"/>
      <c r="F10" s="1"/>
      <c r="G10" s="11" t="e">
        <f>G8+#REF!</f>
        <v>#REF!</v>
      </c>
      <c r="H10" s="1"/>
      <c r="I10" s="12">
        <f>E6-D12-D13-D14-D15-D16-D17-D18-D19</f>
        <v>14458851.79</v>
      </c>
    </row>
    <row r="11" spans="1:8" ht="20.25" customHeight="1">
      <c r="A11" s="175"/>
      <c r="B11" s="207" t="s">
        <v>123</v>
      </c>
      <c r="C11" s="207" t="s">
        <v>124</v>
      </c>
      <c r="D11" s="209" t="s">
        <v>121</v>
      </c>
      <c r="E11" s="176"/>
      <c r="F11" s="1"/>
      <c r="G11" s="11" t="e">
        <f>G10-#REF!</f>
        <v>#REF!</v>
      </c>
      <c r="H11" s="1"/>
    </row>
    <row r="12" spans="1:8" ht="21" customHeight="1">
      <c r="A12" s="18"/>
      <c r="B12" s="203">
        <v>238701</v>
      </c>
      <c r="C12" s="204" t="s">
        <v>125</v>
      </c>
      <c r="D12" s="205">
        <v>930</v>
      </c>
      <c r="E12" s="179"/>
      <c r="F12" s="1"/>
      <c r="G12" s="1"/>
      <c r="H12" s="1"/>
    </row>
    <row r="13" spans="1:8" ht="21" customHeight="1">
      <c r="A13" s="18"/>
      <c r="B13" s="206">
        <v>238979</v>
      </c>
      <c r="C13" s="204" t="s">
        <v>185</v>
      </c>
      <c r="D13" s="205">
        <v>1000</v>
      </c>
      <c r="E13" s="179"/>
      <c r="F13" s="1"/>
      <c r="G13" s="1"/>
      <c r="H13" s="1"/>
    </row>
    <row r="14" spans="1:8" ht="21" customHeight="1">
      <c r="A14" s="18"/>
      <c r="B14" s="206">
        <v>239227</v>
      </c>
      <c r="C14" s="204" t="s">
        <v>186</v>
      </c>
      <c r="D14" s="205">
        <v>1750</v>
      </c>
      <c r="E14" s="179"/>
      <c r="F14" s="1"/>
      <c r="G14" s="1"/>
      <c r="H14" s="11" t="e">
        <f>E6-E29+#REF!+#REF!</f>
        <v>#REF!</v>
      </c>
    </row>
    <row r="15" spans="1:8" ht="21" customHeight="1">
      <c r="A15" s="18"/>
      <c r="B15" s="206">
        <v>239227</v>
      </c>
      <c r="C15" s="204" t="s">
        <v>187</v>
      </c>
      <c r="D15" s="207">
        <v>4975</v>
      </c>
      <c r="E15" s="180"/>
      <c r="F15" s="1"/>
      <c r="G15" s="1"/>
      <c r="H15" s="11" t="e">
        <f>16195591.98-H14</f>
        <v>#REF!</v>
      </c>
    </row>
    <row r="16" spans="1:8" ht="21" customHeight="1">
      <c r="A16" s="18"/>
      <c r="B16" s="206">
        <v>239344</v>
      </c>
      <c r="C16" s="204" t="s">
        <v>209</v>
      </c>
      <c r="D16" s="207">
        <v>400</v>
      </c>
      <c r="E16" s="180"/>
      <c r="F16" s="1"/>
      <c r="G16" s="1"/>
      <c r="H16" s="1"/>
    </row>
    <row r="17" spans="1:8" ht="21" customHeight="1">
      <c r="A17" s="18"/>
      <c r="B17" s="206">
        <v>239344</v>
      </c>
      <c r="C17" s="204" t="s">
        <v>210</v>
      </c>
      <c r="D17" s="207">
        <v>400</v>
      </c>
      <c r="E17" s="180"/>
      <c r="F17" s="1"/>
      <c r="G17" s="1"/>
      <c r="H17" s="1"/>
    </row>
    <row r="18" spans="1:8" ht="21" customHeight="1">
      <c r="A18" s="18"/>
      <c r="B18" s="206">
        <v>239344</v>
      </c>
      <c r="C18" s="204" t="s">
        <v>211</v>
      </c>
      <c r="D18" s="207">
        <v>400</v>
      </c>
      <c r="E18" s="180"/>
      <c r="F18" s="1"/>
      <c r="G18" s="11">
        <f>14485871.79-E6</f>
        <v>16415</v>
      </c>
      <c r="H18" s="1"/>
    </row>
    <row r="19" spans="1:8" ht="21" customHeight="1">
      <c r="A19" s="18"/>
      <c r="B19" s="206">
        <v>239384</v>
      </c>
      <c r="C19" s="204" t="s">
        <v>215</v>
      </c>
      <c r="D19" s="207">
        <v>750</v>
      </c>
      <c r="E19" s="180"/>
      <c r="F19" s="1"/>
      <c r="G19" s="1"/>
      <c r="H19" s="1"/>
    </row>
    <row r="20" spans="1:8" ht="21" customHeight="1">
      <c r="A20" s="18"/>
      <c r="B20" s="206"/>
      <c r="C20" s="204"/>
      <c r="D20" s="207"/>
      <c r="E20" s="180"/>
      <c r="F20" s="1"/>
      <c r="G20" s="1"/>
      <c r="H20" s="1"/>
    </row>
    <row r="21" spans="1:8" ht="21" customHeight="1">
      <c r="A21" s="18"/>
      <c r="B21" s="206"/>
      <c r="C21" s="204"/>
      <c r="D21" s="207"/>
      <c r="E21" s="180"/>
      <c r="F21" s="1"/>
      <c r="G21" s="1"/>
      <c r="H21" s="1"/>
    </row>
    <row r="22" spans="1:8" ht="21" customHeight="1">
      <c r="A22" s="18"/>
      <c r="B22" s="206"/>
      <c r="C22" s="204"/>
      <c r="D22" s="207"/>
      <c r="E22" s="180"/>
      <c r="F22" s="1"/>
      <c r="G22" s="1"/>
      <c r="H22" s="1"/>
    </row>
    <row r="23" spans="1:8" ht="21" customHeight="1">
      <c r="A23" s="18"/>
      <c r="B23" s="206"/>
      <c r="C23" s="204"/>
      <c r="D23" s="207"/>
      <c r="E23" s="180"/>
      <c r="F23" s="1"/>
      <c r="G23" s="1"/>
      <c r="H23" s="1"/>
    </row>
    <row r="24" spans="1:8" ht="21" customHeight="1">
      <c r="A24" s="18"/>
      <c r="B24" s="206"/>
      <c r="C24" s="204"/>
      <c r="D24" s="207"/>
      <c r="E24" s="180"/>
      <c r="F24" s="1"/>
      <c r="G24" s="1"/>
      <c r="H24" s="1"/>
    </row>
    <row r="25" spans="1:8" ht="21" customHeight="1">
      <c r="A25" s="18"/>
      <c r="B25" s="206"/>
      <c r="C25" s="204"/>
      <c r="D25" s="207"/>
      <c r="E25" s="180"/>
      <c r="F25" s="1"/>
      <c r="G25" s="1"/>
      <c r="H25" s="1"/>
    </row>
    <row r="26" spans="1:8" ht="21" customHeight="1">
      <c r="A26" s="18"/>
      <c r="B26" s="206"/>
      <c r="C26" s="204"/>
      <c r="D26" s="207"/>
      <c r="E26" s="180"/>
      <c r="F26" s="1"/>
      <c r="G26" s="1"/>
      <c r="H26" s="1"/>
    </row>
    <row r="27" spans="1:8" ht="21" customHeight="1">
      <c r="A27" s="18"/>
      <c r="B27" s="206"/>
      <c r="C27" s="204"/>
      <c r="D27" s="207"/>
      <c r="E27" s="180"/>
      <c r="F27" s="1"/>
      <c r="G27" s="1"/>
      <c r="H27" s="1"/>
    </row>
    <row r="28" spans="1:8" ht="21" customHeight="1">
      <c r="A28" s="18"/>
      <c r="B28" s="206"/>
      <c r="C28" s="204"/>
      <c r="D28" s="207"/>
      <c r="E28" s="180"/>
      <c r="F28" s="1"/>
      <c r="G28" s="1"/>
      <c r="H28" s="1"/>
    </row>
    <row r="29" spans="1:8" ht="21" customHeight="1">
      <c r="A29" s="18"/>
      <c r="B29" s="206"/>
      <c r="C29" s="204"/>
      <c r="D29" s="207"/>
      <c r="E29" s="232">
        <f>SUM(D12:D19)</f>
        <v>10605</v>
      </c>
      <c r="F29" s="1"/>
      <c r="G29" s="1"/>
      <c r="H29" s="11">
        <f>E33-16195591.98</f>
        <v>-1736740.1900000013</v>
      </c>
    </row>
    <row r="30" spans="1:8" ht="23.25">
      <c r="A30" s="102" t="s">
        <v>126</v>
      </c>
      <c r="B30" s="181"/>
      <c r="C30" s="182"/>
      <c r="D30" s="173"/>
      <c r="E30" s="82"/>
      <c r="F30" s="1"/>
      <c r="G30" s="1"/>
      <c r="H30" s="1"/>
    </row>
    <row r="31" spans="1:8" ht="21" customHeight="1">
      <c r="A31" s="18"/>
      <c r="B31" s="181"/>
      <c r="C31" s="207" t="s">
        <v>127</v>
      </c>
      <c r="D31" s="176"/>
      <c r="E31" s="21"/>
      <c r="F31" s="1"/>
      <c r="G31" s="1"/>
      <c r="H31" s="1"/>
    </row>
    <row r="32" spans="1:8" ht="27.75" customHeight="1">
      <c r="A32" s="183"/>
      <c r="B32" s="206"/>
      <c r="C32" s="194"/>
      <c r="D32" s="205"/>
      <c r="E32" s="233"/>
      <c r="F32" s="1"/>
      <c r="G32" s="11">
        <v>14485871.79</v>
      </c>
      <c r="H32" s="5"/>
    </row>
    <row r="33" spans="1:9" ht="24" thickBot="1">
      <c r="A33" s="208" t="s">
        <v>216</v>
      </c>
      <c r="B33" s="185"/>
      <c r="C33" s="186"/>
      <c r="D33" s="187"/>
      <c r="E33" s="234">
        <f>E6-E29-E32</f>
        <v>14458851.79</v>
      </c>
      <c r="F33" s="1"/>
      <c r="G33" s="11">
        <f>G32-E33</f>
        <v>27020</v>
      </c>
      <c r="H33" s="11">
        <v>11886145.35</v>
      </c>
      <c r="I33" s="12" t="e">
        <f>E33-#REF!</f>
        <v>#REF!</v>
      </c>
    </row>
    <row r="34" spans="1:8" ht="21" customHeight="1" thickTop="1">
      <c r="A34" s="293" t="s">
        <v>128</v>
      </c>
      <c r="B34" s="294"/>
      <c r="C34" s="295"/>
      <c r="D34" s="293" t="s">
        <v>129</v>
      </c>
      <c r="E34" s="296"/>
      <c r="F34" s="1"/>
      <c r="G34" s="1"/>
      <c r="H34" s="11" t="e">
        <f>H33-#REF!</f>
        <v>#REF!</v>
      </c>
    </row>
    <row r="35" spans="1:8" ht="6.75" customHeight="1">
      <c r="A35" s="231"/>
      <c r="B35" s="213"/>
      <c r="C35" s="230"/>
      <c r="D35" s="231"/>
      <c r="E35" s="230"/>
      <c r="F35" s="1"/>
      <c r="G35" s="1"/>
      <c r="H35" s="1"/>
    </row>
    <row r="36" spans="1:8" ht="23.25">
      <c r="A36" s="300" t="s">
        <v>217</v>
      </c>
      <c r="B36" s="301"/>
      <c r="C36" s="302" t="s">
        <v>218</v>
      </c>
      <c r="D36" s="214" t="s">
        <v>145</v>
      </c>
      <c r="E36" s="235" t="s">
        <v>219</v>
      </c>
      <c r="F36" s="1"/>
      <c r="G36" s="1"/>
      <c r="H36" s="1"/>
    </row>
    <row r="37" spans="1:8" ht="23.25">
      <c r="A37" s="297" t="s">
        <v>131</v>
      </c>
      <c r="B37" s="298"/>
      <c r="C37" s="299"/>
      <c r="D37" s="297" t="s">
        <v>108</v>
      </c>
      <c r="E37" s="299"/>
      <c r="F37" s="1"/>
      <c r="G37" s="1"/>
      <c r="H37" s="1"/>
    </row>
    <row r="38" spans="1:8" ht="23.25">
      <c r="A38" s="290" t="s">
        <v>137</v>
      </c>
      <c r="B38" s="291"/>
      <c r="C38" s="292"/>
      <c r="D38" s="290" t="s">
        <v>132</v>
      </c>
      <c r="E38" s="292"/>
      <c r="F38" s="1"/>
      <c r="G38" s="1"/>
      <c r="H38" s="9" t="s">
        <v>147</v>
      </c>
    </row>
    <row r="39" spans="1:8" ht="23.25">
      <c r="A39" s="1"/>
      <c r="B39" s="1"/>
      <c r="C39" s="1"/>
      <c r="D39" s="1"/>
      <c r="E39" s="1"/>
      <c r="F39" s="1"/>
      <c r="G39" s="1"/>
      <c r="H39" s="1"/>
    </row>
    <row r="41" ht="21.75" customHeight="1"/>
    <row r="42" ht="17.25" customHeight="1"/>
    <row r="43" spans="1:5" ht="21">
      <c r="A43" s="149" t="s">
        <v>114</v>
      </c>
      <c r="B43" s="150"/>
      <c r="C43" s="151"/>
      <c r="D43" s="149" t="s">
        <v>115</v>
      </c>
      <c r="E43" s="152"/>
    </row>
    <row r="44" spans="1:5" ht="21">
      <c r="A44" s="153" t="s">
        <v>116</v>
      </c>
      <c r="B44" s="154"/>
      <c r="C44" s="155"/>
      <c r="D44" s="153" t="s">
        <v>196</v>
      </c>
      <c r="E44" s="156"/>
    </row>
    <row r="45" spans="1:5" ht="21">
      <c r="A45" s="157"/>
      <c r="B45" s="158"/>
      <c r="C45" s="159"/>
      <c r="D45" s="160"/>
      <c r="E45" s="161" t="s">
        <v>117</v>
      </c>
    </row>
    <row r="46" spans="1:5" ht="21">
      <c r="A46" s="18"/>
      <c r="B46" s="27"/>
      <c r="C46" s="162"/>
      <c r="D46" s="81"/>
      <c r="E46" s="21"/>
    </row>
    <row r="47" spans="1:5" ht="21">
      <c r="A47" s="163" t="s">
        <v>206</v>
      </c>
      <c r="B47" s="164"/>
      <c r="C47" s="165"/>
      <c r="D47" s="166"/>
      <c r="E47" s="167">
        <v>13777950.3</v>
      </c>
    </row>
    <row r="48" spans="1:5" ht="21">
      <c r="A48" s="18" t="s">
        <v>118</v>
      </c>
      <c r="B48" s="27"/>
      <c r="C48" s="162"/>
      <c r="D48" s="81"/>
      <c r="E48" s="21"/>
    </row>
    <row r="49" spans="1:5" ht="21">
      <c r="A49" s="168"/>
      <c r="B49" s="169" t="s">
        <v>119</v>
      </c>
      <c r="C49" s="170" t="s">
        <v>120</v>
      </c>
      <c r="D49" s="171" t="s">
        <v>121</v>
      </c>
      <c r="E49" s="172"/>
    </row>
    <row r="50" spans="1:5" ht="21">
      <c r="A50" s="168"/>
      <c r="B50" s="169"/>
      <c r="C50" s="170"/>
      <c r="D50" s="171"/>
      <c r="E50" s="172"/>
    </row>
    <row r="51" spans="1:5" ht="21">
      <c r="A51" s="18"/>
      <c r="B51" s="173"/>
      <c r="C51" s="173"/>
      <c r="D51" s="174"/>
      <c r="E51" s="21"/>
    </row>
    <row r="52" spans="1:5" ht="21">
      <c r="A52" s="18" t="s">
        <v>122</v>
      </c>
      <c r="B52" s="27"/>
      <c r="C52" s="162"/>
      <c r="D52" s="81"/>
      <c r="E52" s="21"/>
    </row>
    <row r="53" spans="1:5" ht="21">
      <c r="A53" s="175"/>
      <c r="B53" s="173" t="s">
        <v>123</v>
      </c>
      <c r="C53" s="173" t="s">
        <v>124</v>
      </c>
      <c r="D53" s="174" t="s">
        <v>121</v>
      </c>
      <c r="E53" s="176"/>
    </row>
    <row r="54" spans="1:5" ht="23.25">
      <c r="A54" s="18"/>
      <c r="B54" s="177"/>
      <c r="C54" s="178"/>
      <c r="D54" s="176"/>
      <c r="E54" s="179"/>
    </row>
    <row r="55" spans="1:5" ht="23.25">
      <c r="A55" s="18"/>
      <c r="B55" s="195"/>
      <c r="C55" s="178"/>
      <c r="D55" s="176"/>
      <c r="E55" s="179"/>
    </row>
    <row r="56" spans="1:5" ht="23.25">
      <c r="A56" s="18"/>
      <c r="B56" s="195"/>
      <c r="C56" s="178"/>
      <c r="D56" s="176"/>
      <c r="E56" s="179"/>
    </row>
    <row r="57" spans="1:5" ht="23.25">
      <c r="A57" s="18"/>
      <c r="B57" s="195"/>
      <c r="C57" s="178"/>
      <c r="D57" s="173"/>
      <c r="E57" s="180"/>
    </row>
    <row r="58" spans="1:5" ht="23.25">
      <c r="A58" s="18"/>
      <c r="B58" s="195"/>
      <c r="C58" s="178"/>
      <c r="D58" s="173"/>
      <c r="E58" s="180"/>
    </row>
    <row r="59" spans="1:5" ht="23.25">
      <c r="A59" s="18"/>
      <c r="B59" s="195"/>
      <c r="C59" s="178"/>
      <c r="D59" s="173"/>
      <c r="E59" s="180"/>
    </row>
    <row r="60" spans="1:5" ht="23.25">
      <c r="A60" s="18"/>
      <c r="B60" s="195"/>
      <c r="C60" s="178"/>
      <c r="D60" s="173"/>
      <c r="E60" s="180"/>
    </row>
    <row r="61" spans="1:5" ht="23.25">
      <c r="A61" s="18"/>
      <c r="B61" s="177"/>
      <c r="C61" s="178"/>
      <c r="D61" s="173"/>
      <c r="E61" s="180"/>
    </row>
    <row r="62" spans="1:5" ht="23.25">
      <c r="A62" s="18"/>
      <c r="B62" s="177"/>
      <c r="C62" s="178"/>
      <c r="D62" s="173"/>
      <c r="E62" s="180"/>
    </row>
    <row r="63" spans="1:5" ht="23.25">
      <c r="A63" s="18"/>
      <c r="B63" s="177"/>
      <c r="C63" s="178"/>
      <c r="D63" s="173"/>
      <c r="E63" s="180"/>
    </row>
    <row r="64" spans="1:5" ht="23.25">
      <c r="A64" s="18"/>
      <c r="B64" s="177"/>
      <c r="C64" s="178"/>
      <c r="D64" s="173"/>
      <c r="E64" s="180">
        <f>SUM(D54:D60)</f>
        <v>0</v>
      </c>
    </row>
    <row r="65" spans="1:5" ht="21">
      <c r="A65" s="18" t="s">
        <v>126</v>
      </c>
      <c r="B65" s="181"/>
      <c r="C65" s="182"/>
      <c r="D65" s="173"/>
      <c r="E65" s="82"/>
    </row>
    <row r="66" spans="1:5" ht="21">
      <c r="A66" s="18"/>
      <c r="B66" s="181"/>
      <c r="C66" s="173" t="s">
        <v>127</v>
      </c>
      <c r="D66" s="176"/>
      <c r="E66" s="21"/>
    </row>
    <row r="67" spans="1:5" ht="21">
      <c r="A67" s="183"/>
      <c r="B67" s="195">
        <v>239320</v>
      </c>
      <c r="C67" s="196" t="s">
        <v>193</v>
      </c>
      <c r="D67" s="176">
        <v>721.14</v>
      </c>
      <c r="E67" s="21"/>
    </row>
    <row r="68" spans="1:5" ht="21">
      <c r="A68" s="183"/>
      <c r="B68" s="195"/>
      <c r="C68" s="194"/>
      <c r="D68" s="176"/>
      <c r="E68" s="21">
        <f>D68-D67</f>
        <v>-721.14</v>
      </c>
    </row>
    <row r="69" spans="1:5" ht="21">
      <c r="A69" s="183"/>
      <c r="B69" s="195"/>
      <c r="C69" s="194"/>
      <c r="D69" s="176"/>
      <c r="E69" s="21"/>
    </row>
    <row r="70" spans="1:5" ht="24" thickBot="1">
      <c r="A70" s="184" t="s">
        <v>207</v>
      </c>
      <c r="B70" s="185"/>
      <c r="C70" s="186"/>
      <c r="D70" s="187"/>
      <c r="E70" s="188">
        <f>E47-E64+E68</f>
        <v>13777229.16</v>
      </c>
    </row>
    <row r="71" spans="1:5" ht="21.75" thickTop="1">
      <c r="A71" s="283" t="s">
        <v>128</v>
      </c>
      <c r="B71" s="284"/>
      <c r="C71" s="285"/>
      <c r="D71" s="283" t="s">
        <v>129</v>
      </c>
      <c r="E71" s="286"/>
    </row>
    <row r="72" spans="1:5" ht="21">
      <c r="A72" s="190"/>
      <c r="B72" s="191"/>
      <c r="C72" s="189"/>
      <c r="D72" s="190"/>
      <c r="E72" s="189"/>
    </row>
    <row r="73" spans="1:5" ht="21">
      <c r="A73" s="192" t="s">
        <v>130</v>
      </c>
      <c r="B73" s="191"/>
      <c r="C73" s="193" t="s">
        <v>208</v>
      </c>
      <c r="D73" s="175" t="s">
        <v>145</v>
      </c>
      <c r="E73" s="193" t="s">
        <v>208</v>
      </c>
    </row>
    <row r="74" spans="1:5" ht="21">
      <c r="A74" s="287" t="s">
        <v>131</v>
      </c>
      <c r="B74" s="288"/>
      <c r="C74" s="289"/>
      <c r="D74" s="287" t="s">
        <v>108</v>
      </c>
      <c r="E74" s="289"/>
    </row>
    <row r="75" spans="1:5" ht="21">
      <c r="A75" s="280" t="s">
        <v>137</v>
      </c>
      <c r="B75" s="281"/>
      <c r="C75" s="282"/>
      <c r="D75" s="280" t="s">
        <v>132</v>
      </c>
      <c r="E75" s="282"/>
    </row>
  </sheetData>
  <mergeCells count="13">
    <mergeCell ref="A38:C38"/>
    <mergeCell ref="D38:E38"/>
    <mergeCell ref="A34:C34"/>
    <mergeCell ref="D34:E34"/>
    <mergeCell ref="A37:C37"/>
    <mergeCell ref="D37:E37"/>
    <mergeCell ref="A36:B36"/>
    <mergeCell ref="A75:C75"/>
    <mergeCell ref="D75:E75"/>
    <mergeCell ref="A71:C71"/>
    <mergeCell ref="D71:E71"/>
    <mergeCell ref="A74:C74"/>
    <mergeCell ref="D74:E74"/>
  </mergeCells>
  <printOptions/>
  <pageMargins left="0.5511811023622047" right="0.551181102362204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F24" sqref="F24"/>
    </sheetView>
  </sheetViews>
  <sheetFormatPr defaultColWidth="9.140625" defaultRowHeight="12.75"/>
  <cols>
    <col min="1" max="1" width="57.28125" style="0" customWidth="1"/>
    <col min="2" max="2" width="7.8515625" style="0" customWidth="1"/>
    <col min="3" max="3" width="15.421875" style="0" customWidth="1"/>
    <col min="4" max="4" width="17.421875" style="0" customWidth="1"/>
    <col min="7" max="7" width="14.00390625" style="0" bestFit="1" customWidth="1"/>
  </cols>
  <sheetData>
    <row r="2" spans="1:4" ht="21">
      <c r="A2" s="249" t="s">
        <v>0</v>
      </c>
      <c r="B2" s="249"/>
      <c r="C2" s="249"/>
      <c r="D2" s="249"/>
    </row>
    <row r="3" spans="1:4" ht="21">
      <c r="A3" s="249" t="s">
        <v>1</v>
      </c>
      <c r="B3" s="249"/>
      <c r="C3" s="249"/>
      <c r="D3" s="249"/>
    </row>
    <row r="4" spans="1:4" ht="21">
      <c r="A4" s="250" t="s">
        <v>204</v>
      </c>
      <c r="B4" s="250"/>
      <c r="C4" s="250"/>
      <c r="D4" s="250"/>
    </row>
    <row r="5" spans="1:4" ht="21">
      <c r="A5" s="76" t="s">
        <v>2</v>
      </c>
      <c r="B5" s="77" t="s">
        <v>3</v>
      </c>
      <c r="C5" s="78" t="s">
        <v>4</v>
      </c>
      <c r="D5" s="78" t="s">
        <v>5</v>
      </c>
    </row>
    <row r="6" spans="1:4" ht="21">
      <c r="A6" s="79"/>
      <c r="B6" s="65" t="s">
        <v>6</v>
      </c>
      <c r="C6" s="80"/>
      <c r="D6" s="80"/>
    </row>
    <row r="7" spans="1:4" ht="21">
      <c r="A7" s="36" t="s">
        <v>7</v>
      </c>
      <c r="B7" s="57" t="s">
        <v>8</v>
      </c>
      <c r="C7" s="72">
        <v>1415709.44</v>
      </c>
      <c r="D7" s="54"/>
    </row>
    <row r="8" spans="1:4" ht="21">
      <c r="A8" s="36" t="s">
        <v>9</v>
      </c>
      <c r="B8" s="57" t="s">
        <v>10</v>
      </c>
      <c r="C8" s="35">
        <v>3793379.47</v>
      </c>
      <c r="D8" s="54"/>
    </row>
    <row r="9" spans="1:4" ht="21">
      <c r="A9" s="36" t="s">
        <v>11</v>
      </c>
      <c r="B9" s="57" t="s">
        <v>10</v>
      </c>
      <c r="C9" s="35">
        <v>13734871.75</v>
      </c>
      <c r="D9" s="54"/>
    </row>
    <row r="10" spans="1:4" ht="21">
      <c r="A10" s="36" t="s">
        <v>12</v>
      </c>
      <c r="B10" s="57" t="s">
        <v>10</v>
      </c>
      <c r="C10" s="35">
        <v>200074.79</v>
      </c>
      <c r="D10" s="54"/>
    </row>
    <row r="11" spans="1:4" ht="21">
      <c r="A11" s="36" t="s">
        <v>13</v>
      </c>
      <c r="B11" s="57"/>
      <c r="C11" s="35">
        <v>75568</v>
      </c>
      <c r="D11" s="54"/>
    </row>
    <row r="12" spans="1:4" ht="21">
      <c r="A12" s="36" t="s">
        <v>90</v>
      </c>
      <c r="B12" s="57"/>
      <c r="C12" s="35">
        <v>10004</v>
      </c>
      <c r="D12" s="54"/>
    </row>
    <row r="13" spans="1:4" ht="21">
      <c r="A13" s="36" t="s">
        <v>197</v>
      </c>
      <c r="B13" s="44"/>
      <c r="C13" s="35">
        <v>46584.37</v>
      </c>
      <c r="D13" s="54"/>
    </row>
    <row r="14" spans="1:4" ht="21">
      <c r="A14" s="36" t="s">
        <v>15</v>
      </c>
      <c r="B14" s="57" t="s">
        <v>16</v>
      </c>
      <c r="C14" s="35">
        <v>570776</v>
      </c>
      <c r="D14" s="54"/>
    </row>
    <row r="15" spans="1:4" ht="21">
      <c r="A15" s="36" t="s">
        <v>198</v>
      </c>
      <c r="B15" s="44">
        <v>100</v>
      </c>
      <c r="C15" s="35">
        <v>1296840</v>
      </c>
      <c r="D15" s="54"/>
    </row>
    <row r="16" spans="1:7" ht="21">
      <c r="A16" s="36" t="s">
        <v>199</v>
      </c>
      <c r="B16" s="44">
        <v>120</v>
      </c>
      <c r="C16" s="35">
        <v>1525472</v>
      </c>
      <c r="D16" s="54"/>
      <c r="G16">
        <v>8</v>
      </c>
    </row>
    <row r="17" spans="1:4" ht="21">
      <c r="A17" s="36" t="s">
        <v>17</v>
      </c>
      <c r="B17" s="44">
        <v>200</v>
      </c>
      <c r="C17" s="35">
        <v>182187</v>
      </c>
      <c r="D17" s="54"/>
    </row>
    <row r="18" spans="1:4" ht="21">
      <c r="A18" s="36" t="s">
        <v>18</v>
      </c>
      <c r="B18" s="44">
        <v>250</v>
      </c>
      <c r="C18" s="35">
        <v>786862</v>
      </c>
      <c r="D18" s="54"/>
    </row>
    <row r="19" spans="1:4" ht="21">
      <c r="A19" s="36" t="s">
        <v>19</v>
      </c>
      <c r="B19" s="44">
        <v>270</v>
      </c>
      <c r="C19" s="35">
        <v>742653.62</v>
      </c>
      <c r="D19" s="54"/>
    </row>
    <row r="20" spans="1:4" ht="21">
      <c r="A20" s="36" t="s">
        <v>20</v>
      </c>
      <c r="B20" s="44">
        <v>300</v>
      </c>
      <c r="C20" s="35">
        <v>52468.35</v>
      </c>
      <c r="D20" s="54"/>
    </row>
    <row r="21" spans="1:4" ht="21">
      <c r="A21" s="36" t="s">
        <v>21</v>
      </c>
      <c r="B21" s="44">
        <v>400</v>
      </c>
      <c r="C21" s="72">
        <v>740153.88</v>
      </c>
      <c r="D21" s="54"/>
    </row>
    <row r="22" spans="1:4" ht="21">
      <c r="A22" s="36" t="s">
        <v>22</v>
      </c>
      <c r="B22" s="44">
        <v>450</v>
      </c>
      <c r="C22" s="72">
        <v>96588</v>
      </c>
      <c r="D22" s="54"/>
    </row>
    <row r="23" spans="1:4" ht="21">
      <c r="A23" s="36" t="s">
        <v>134</v>
      </c>
      <c r="B23" s="44">
        <v>500</v>
      </c>
      <c r="C23" s="72"/>
      <c r="D23" s="54"/>
    </row>
    <row r="24" spans="1:4" ht="21">
      <c r="A24" s="36" t="s">
        <v>23</v>
      </c>
      <c r="B24" s="57">
        <v>550</v>
      </c>
      <c r="C24" s="72">
        <v>0</v>
      </c>
      <c r="D24" s="54"/>
    </row>
    <row r="25" spans="1:4" ht="21">
      <c r="A25" s="36" t="s">
        <v>200</v>
      </c>
      <c r="B25" s="44"/>
      <c r="C25" s="35"/>
      <c r="D25" s="54">
        <f>'หมายเหตุ เม.ย.'!H31</f>
        <v>12841251.41</v>
      </c>
    </row>
    <row r="26" spans="1:4" ht="21">
      <c r="A26" s="73" t="s">
        <v>176</v>
      </c>
      <c r="B26" s="44"/>
      <c r="C26" s="35"/>
      <c r="D26" s="54">
        <f>'หมายเหตุ 2เม.ย.'!G9</f>
        <v>707088.02</v>
      </c>
    </row>
    <row r="27" spans="1:4" ht="21">
      <c r="A27" s="36" t="s">
        <v>201</v>
      </c>
      <c r="B27" s="44"/>
      <c r="C27" s="35"/>
      <c r="D27" s="54">
        <f>'หมายเหตุ 2'!G33</f>
        <v>5037</v>
      </c>
    </row>
    <row r="28" spans="1:7" ht="21">
      <c r="A28" s="36" t="s">
        <v>202</v>
      </c>
      <c r="B28" s="44"/>
      <c r="C28" s="35"/>
      <c r="D28" s="54">
        <f>'หมายเหตุ 4'!I8</f>
        <v>0</v>
      </c>
      <c r="G28" s="12">
        <f>D32-C32</f>
        <v>0</v>
      </c>
    </row>
    <row r="29" spans="1:4" ht="21">
      <c r="A29" s="36" t="s">
        <v>203</v>
      </c>
      <c r="B29" s="44"/>
      <c r="C29" s="35"/>
      <c r="D29" s="54">
        <f>'หมายเหตุ6 เม.ย.'!I19</f>
        <v>2192947</v>
      </c>
    </row>
    <row r="30" spans="1:4" ht="21">
      <c r="A30" s="36" t="s">
        <v>24</v>
      </c>
      <c r="B30" s="44"/>
      <c r="C30" s="35"/>
      <c r="D30" s="54">
        <f>5483497.68-1245000</f>
        <v>4238497.68</v>
      </c>
    </row>
    <row r="31" spans="1:4" ht="21">
      <c r="A31" s="36" t="s">
        <v>25</v>
      </c>
      <c r="B31" s="44"/>
      <c r="C31" s="35"/>
      <c r="D31" s="54">
        <v>5285371.56</v>
      </c>
    </row>
    <row r="32" spans="1:4" ht="21.75" thickBot="1">
      <c r="A32" s="36"/>
      <c r="B32" s="44"/>
      <c r="C32" s="75">
        <f>SUM(C7:C31)</f>
        <v>25270192.67</v>
      </c>
      <c r="D32" s="75">
        <f>SUM(D25:D31)</f>
        <v>25270192.669999998</v>
      </c>
    </row>
    <row r="33" ht="13.5" thickTop="1"/>
  </sheetData>
  <mergeCells count="3">
    <mergeCell ref="A2:D2"/>
    <mergeCell ref="A3:D3"/>
    <mergeCell ref="A4:D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J5" sqref="J5"/>
    </sheetView>
  </sheetViews>
  <sheetFormatPr defaultColWidth="9.140625" defaultRowHeight="12.75"/>
  <cols>
    <col min="1" max="4" width="9.140625" style="88" customWidth="1"/>
    <col min="5" max="5" width="9.421875" style="88" customWidth="1"/>
    <col min="6" max="6" width="15.8515625" style="88" customWidth="1"/>
    <col min="7" max="7" width="14.57421875" style="88" customWidth="1"/>
    <col min="8" max="8" width="15.28125" style="88" bestFit="1" customWidth="1"/>
    <col min="9" max="10" width="9.140625" style="88" customWidth="1"/>
    <col min="11" max="11" width="15.28125" style="88" bestFit="1" customWidth="1"/>
    <col min="12" max="16384" width="9.140625" style="88" customWidth="1"/>
  </cols>
  <sheetData>
    <row r="2" spans="1:8" ht="21">
      <c r="A2" s="251" t="s">
        <v>26</v>
      </c>
      <c r="B2" s="251"/>
      <c r="C2" s="251"/>
      <c r="D2" s="251"/>
      <c r="E2" s="251"/>
      <c r="F2" s="251"/>
      <c r="G2" s="251"/>
      <c r="H2" s="251"/>
    </row>
    <row r="3" spans="1:8" ht="21">
      <c r="A3" s="251" t="s">
        <v>151</v>
      </c>
      <c r="B3" s="251"/>
      <c r="C3" s="251"/>
      <c r="D3" s="251"/>
      <c r="E3" s="251"/>
      <c r="F3" s="251"/>
      <c r="G3" s="251"/>
      <c r="H3" s="251"/>
    </row>
    <row r="4" spans="1:8" ht="21">
      <c r="A4" s="251" t="s">
        <v>213</v>
      </c>
      <c r="B4" s="251"/>
      <c r="C4" s="251"/>
      <c r="D4" s="251"/>
      <c r="E4" s="251"/>
      <c r="F4" s="251"/>
      <c r="G4" s="251"/>
      <c r="H4" s="251"/>
    </row>
    <row r="6" spans="1:8" ht="21">
      <c r="A6" s="252" t="s">
        <v>27</v>
      </c>
      <c r="B6" s="253"/>
      <c r="C6" s="253"/>
      <c r="D6" s="253"/>
      <c r="E6" s="254"/>
      <c r="F6" s="14" t="s">
        <v>28</v>
      </c>
      <c r="G6" s="14" t="s">
        <v>29</v>
      </c>
      <c r="H6" s="14" t="s">
        <v>30</v>
      </c>
    </row>
    <row r="7" spans="1:8" ht="21">
      <c r="A7" s="18" t="s">
        <v>31</v>
      </c>
      <c r="B7" s="19"/>
      <c r="C7" s="19"/>
      <c r="D7" s="19"/>
      <c r="E7" s="81"/>
      <c r="F7" s="82">
        <v>55140</v>
      </c>
      <c r="G7" s="82">
        <v>0</v>
      </c>
      <c r="H7" s="82">
        <f aca="true" t="shared" si="0" ref="H7:H13">F7+G7</f>
        <v>55140</v>
      </c>
    </row>
    <row r="8" spans="1:8" ht="21">
      <c r="A8" s="83" t="s">
        <v>32</v>
      </c>
      <c r="B8" s="84"/>
      <c r="C8" s="84"/>
      <c r="D8" s="84"/>
      <c r="E8" s="85"/>
      <c r="F8" s="86">
        <v>29115.98</v>
      </c>
      <c r="G8" s="87">
        <v>1123.97</v>
      </c>
      <c r="H8" s="86">
        <f t="shared" si="0"/>
        <v>30239.95</v>
      </c>
    </row>
    <row r="9" spans="1:8" ht="21">
      <c r="A9" s="18" t="s">
        <v>33</v>
      </c>
      <c r="B9" s="19"/>
      <c r="C9" s="19"/>
      <c r="D9" s="19"/>
      <c r="E9" s="81"/>
      <c r="F9" s="82">
        <v>1000</v>
      </c>
      <c r="G9" s="82">
        <v>0</v>
      </c>
      <c r="H9" s="82">
        <f t="shared" si="0"/>
        <v>1000</v>
      </c>
    </row>
    <row r="10" spans="1:8" ht="21">
      <c r="A10" s="83" t="s">
        <v>34</v>
      </c>
      <c r="B10" s="84"/>
      <c r="C10" s="84"/>
      <c r="D10" s="84"/>
      <c r="E10" s="85"/>
      <c r="F10" s="86">
        <f>D10+E10</f>
        <v>0</v>
      </c>
      <c r="G10" s="87">
        <v>0</v>
      </c>
      <c r="H10" s="86">
        <f t="shared" si="0"/>
        <v>0</v>
      </c>
    </row>
    <row r="11" spans="1:8" ht="21">
      <c r="A11" s="18" t="s">
        <v>153</v>
      </c>
      <c r="B11" s="19"/>
      <c r="C11" s="19"/>
      <c r="D11" s="19"/>
      <c r="E11" s="81"/>
      <c r="F11" s="82">
        <v>10</v>
      </c>
      <c r="G11" s="82">
        <v>20</v>
      </c>
      <c r="H11" s="82">
        <f t="shared" si="0"/>
        <v>30</v>
      </c>
    </row>
    <row r="12" spans="1:8" ht="21">
      <c r="A12" s="83" t="s">
        <v>152</v>
      </c>
      <c r="B12" s="84"/>
      <c r="C12" s="84"/>
      <c r="D12" s="84"/>
      <c r="E12" s="85"/>
      <c r="F12" s="86">
        <v>330</v>
      </c>
      <c r="G12" s="87">
        <v>0</v>
      </c>
      <c r="H12" s="86">
        <f t="shared" si="0"/>
        <v>330</v>
      </c>
    </row>
    <row r="13" spans="1:8" ht="21">
      <c r="A13" s="18" t="s">
        <v>35</v>
      </c>
      <c r="B13" s="19"/>
      <c r="C13" s="19"/>
      <c r="D13" s="19"/>
      <c r="E13" s="81"/>
      <c r="F13" s="82">
        <v>1500</v>
      </c>
      <c r="G13" s="82">
        <v>0</v>
      </c>
      <c r="H13" s="82">
        <f t="shared" si="0"/>
        <v>1500</v>
      </c>
    </row>
    <row r="14" spans="1:8" ht="21">
      <c r="A14" s="83" t="s">
        <v>36</v>
      </c>
      <c r="B14" s="84"/>
      <c r="C14" s="84"/>
      <c r="D14" s="84"/>
      <c r="E14" s="85"/>
      <c r="F14" s="86">
        <v>0</v>
      </c>
      <c r="G14" s="87">
        <v>0</v>
      </c>
      <c r="H14" s="86">
        <v>0</v>
      </c>
    </row>
    <row r="15" spans="1:8" ht="21">
      <c r="A15" s="18" t="s">
        <v>37</v>
      </c>
      <c r="B15" s="19"/>
      <c r="C15" s="19"/>
      <c r="D15" s="19"/>
      <c r="E15" s="81"/>
      <c r="F15" s="82">
        <v>28325</v>
      </c>
      <c r="G15" s="82">
        <v>0</v>
      </c>
      <c r="H15" s="82">
        <f>F15+G15</f>
        <v>28325</v>
      </c>
    </row>
    <row r="16" spans="1:8" ht="21">
      <c r="A16" s="83" t="s">
        <v>38</v>
      </c>
      <c r="B16" s="84"/>
      <c r="C16" s="84"/>
      <c r="D16" s="84"/>
      <c r="E16" s="85"/>
      <c r="F16" s="86">
        <v>800</v>
      </c>
      <c r="G16" s="87">
        <v>0</v>
      </c>
      <c r="H16" s="86">
        <f>F16+G16</f>
        <v>800</v>
      </c>
    </row>
    <row r="17" spans="1:8" ht="21">
      <c r="A17" s="18" t="s">
        <v>39</v>
      </c>
      <c r="B17" s="19"/>
      <c r="C17" s="19"/>
      <c r="D17" s="19"/>
      <c r="E17" s="81"/>
      <c r="F17" s="82">
        <v>49064</v>
      </c>
      <c r="G17" s="82">
        <v>0</v>
      </c>
      <c r="H17" s="82">
        <f aca="true" t="shared" si="1" ref="H17:H30">F17+G17</f>
        <v>49064</v>
      </c>
    </row>
    <row r="18" spans="1:8" ht="21">
      <c r="A18" s="83" t="s">
        <v>40</v>
      </c>
      <c r="B18" s="84"/>
      <c r="C18" s="84"/>
      <c r="D18" s="84"/>
      <c r="E18" s="85"/>
      <c r="F18" s="86">
        <v>0</v>
      </c>
      <c r="G18" s="87">
        <v>16500</v>
      </c>
      <c r="H18" s="86">
        <f t="shared" si="1"/>
        <v>16500</v>
      </c>
    </row>
    <row r="19" spans="1:8" ht="21">
      <c r="A19" s="18" t="s">
        <v>41</v>
      </c>
      <c r="B19" s="19"/>
      <c r="C19" s="19"/>
      <c r="D19" s="19"/>
      <c r="E19" s="81"/>
      <c r="F19" s="82">
        <v>0</v>
      </c>
      <c r="G19" s="82">
        <v>0</v>
      </c>
      <c r="H19" s="82">
        <f t="shared" si="1"/>
        <v>0</v>
      </c>
    </row>
    <row r="20" spans="1:11" ht="21">
      <c r="A20" s="83" t="s">
        <v>42</v>
      </c>
      <c r="B20" s="84"/>
      <c r="C20" s="84"/>
      <c r="D20" s="84"/>
      <c r="E20" s="85"/>
      <c r="F20" s="86">
        <v>2264839.74</v>
      </c>
      <c r="G20" s="87">
        <v>973294.1</v>
      </c>
      <c r="H20" s="86">
        <f t="shared" si="1"/>
        <v>3238133.8400000003</v>
      </c>
      <c r="K20" s="89">
        <f>10968099.17-3475200-536000</f>
        <v>6956899.17</v>
      </c>
    </row>
    <row r="21" spans="1:8" ht="21">
      <c r="A21" s="18" t="s">
        <v>43</v>
      </c>
      <c r="B21" s="19"/>
      <c r="C21" s="19"/>
      <c r="D21" s="19"/>
      <c r="E21" s="81"/>
      <c r="F21" s="82">
        <v>1063716.81</v>
      </c>
      <c r="G21" s="82">
        <v>131197.65</v>
      </c>
      <c r="H21" s="82">
        <f t="shared" si="1"/>
        <v>1194914.46</v>
      </c>
    </row>
    <row r="22" spans="1:8" ht="21">
      <c r="A22" s="83" t="s">
        <v>44</v>
      </c>
      <c r="B22" s="84"/>
      <c r="C22" s="84"/>
      <c r="D22" s="84"/>
      <c r="E22" s="85"/>
      <c r="F22" s="86">
        <v>17107.78</v>
      </c>
      <c r="G22" s="87">
        <v>0</v>
      </c>
      <c r="H22" s="86">
        <f t="shared" si="1"/>
        <v>17107.78</v>
      </c>
    </row>
    <row r="23" spans="1:11" ht="21">
      <c r="A23" s="18" t="s">
        <v>45</v>
      </c>
      <c r="B23" s="19"/>
      <c r="C23" s="19"/>
      <c r="D23" s="19"/>
      <c r="E23" s="81"/>
      <c r="F23" s="82">
        <v>544255.31</v>
      </c>
      <c r="G23" s="82">
        <v>76284.14</v>
      </c>
      <c r="H23" s="82">
        <f t="shared" si="1"/>
        <v>620539.4500000001</v>
      </c>
      <c r="K23" s="88">
        <f>1584024.97-229474</f>
        <v>1354550.97</v>
      </c>
    </row>
    <row r="24" spans="1:8" ht="21">
      <c r="A24" s="83" t="s">
        <v>46</v>
      </c>
      <c r="B24" s="84"/>
      <c r="C24" s="84"/>
      <c r="D24" s="84"/>
      <c r="E24" s="85"/>
      <c r="F24" s="86">
        <v>842330.53</v>
      </c>
      <c r="G24" s="87">
        <v>138484.9</v>
      </c>
      <c r="H24" s="86">
        <f t="shared" si="1"/>
        <v>980815.43</v>
      </c>
    </row>
    <row r="25" spans="1:8" ht="21">
      <c r="A25" s="18" t="s">
        <v>47</v>
      </c>
      <c r="B25" s="19"/>
      <c r="C25" s="19"/>
      <c r="D25" s="19"/>
      <c r="E25" s="81"/>
      <c r="F25" s="82">
        <v>38164.81</v>
      </c>
      <c r="G25" s="82">
        <v>0</v>
      </c>
      <c r="H25" s="82">
        <f t="shared" si="1"/>
        <v>38164.81</v>
      </c>
    </row>
    <row r="26" spans="1:11" ht="21">
      <c r="A26" s="83" t="s">
        <v>48</v>
      </c>
      <c r="B26" s="84"/>
      <c r="C26" s="84"/>
      <c r="D26" s="84"/>
      <c r="E26" s="85"/>
      <c r="F26" s="87">
        <v>30247.95</v>
      </c>
      <c r="G26" s="87">
        <v>17640.21</v>
      </c>
      <c r="H26" s="87">
        <f t="shared" si="1"/>
        <v>47888.16</v>
      </c>
      <c r="K26" s="200">
        <f>F31+G31</f>
        <v>14195802.379999999</v>
      </c>
    </row>
    <row r="27" spans="1:8" ht="21">
      <c r="A27" s="18" t="s">
        <v>49</v>
      </c>
      <c r="B27" s="19"/>
      <c r="C27" s="19"/>
      <c r="D27" s="19"/>
      <c r="E27" s="81"/>
      <c r="F27" s="82">
        <v>2901.5</v>
      </c>
      <c r="G27" s="82">
        <v>6</v>
      </c>
      <c r="H27" s="82">
        <f t="shared" si="1"/>
        <v>2907.5</v>
      </c>
    </row>
    <row r="28" spans="1:11" ht="21">
      <c r="A28" s="83" t="s">
        <v>50</v>
      </c>
      <c r="B28" s="84"/>
      <c r="C28" s="84"/>
      <c r="D28" s="84"/>
      <c r="E28" s="85"/>
      <c r="F28" s="86">
        <v>226962</v>
      </c>
      <c r="G28" s="87">
        <v>0</v>
      </c>
      <c r="H28" s="86">
        <f t="shared" si="1"/>
        <v>226962</v>
      </c>
      <c r="K28" s="200" t="e">
        <f>F31:H31</f>
        <v>#VALUE!</v>
      </c>
    </row>
    <row r="29" spans="1:8" ht="21">
      <c r="A29" s="18" t="s">
        <v>51</v>
      </c>
      <c r="B29" s="19"/>
      <c r="C29" s="19"/>
      <c r="D29" s="19"/>
      <c r="E29" s="81"/>
      <c r="F29" s="82">
        <f>D29+E29</f>
        <v>0</v>
      </c>
      <c r="G29" s="82">
        <v>0</v>
      </c>
      <c r="H29" s="82">
        <f t="shared" si="1"/>
        <v>0</v>
      </c>
    </row>
    <row r="30" spans="1:8" ht="21">
      <c r="A30" s="83" t="s">
        <v>52</v>
      </c>
      <c r="B30" s="84"/>
      <c r="C30" s="84"/>
      <c r="D30" s="84"/>
      <c r="E30" s="85"/>
      <c r="F30" s="86">
        <v>7645440</v>
      </c>
      <c r="G30" s="87">
        <v>0</v>
      </c>
      <c r="H30" s="86">
        <f t="shared" si="1"/>
        <v>7645440</v>
      </c>
    </row>
    <row r="31" spans="6:8" ht="21.75" thickBot="1">
      <c r="F31" s="198">
        <f>F7+F8+F9+F10+F11+F12+F13+F14+F15+F16+F17+F18+F19+F20+F21+F22+F23+F24+F25+F26+F27+F28+F29+F30</f>
        <v>12841251.41</v>
      </c>
      <c r="G31" s="237">
        <f>G7+G8+G9+G10+G11+G12+G13+G14+G15+G16+G17+G18+G19+G20+G21+G22+G23+G24+G25+G26+G27+G28+G29+G30</f>
        <v>1354550.9699999997</v>
      </c>
      <c r="H31" s="238">
        <f>H7+H8+H9+H10+H11+H12+H13+H14+H15+H16+H17+H18+H19+H20+H21+H22+H23+H24+H25+H26+H27+H28+H29+H30</f>
        <v>14195802.379999999</v>
      </c>
    </row>
    <row r="32" ht="21.75" thickTop="1"/>
  </sheetData>
  <mergeCells count="4">
    <mergeCell ref="A2:H2"/>
    <mergeCell ref="A3:H3"/>
    <mergeCell ref="A4:H4"/>
    <mergeCell ref="A6:E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K31" sqref="K31"/>
    </sheetView>
  </sheetViews>
  <sheetFormatPr defaultColWidth="9.140625" defaultRowHeight="12.75"/>
  <cols>
    <col min="1" max="4" width="9.140625" style="88" customWidth="1"/>
    <col min="5" max="5" width="8.7109375" style="88" customWidth="1"/>
    <col min="6" max="6" width="14.7109375" style="88" customWidth="1"/>
    <col min="7" max="7" width="14.57421875" style="88" customWidth="1"/>
    <col min="8" max="8" width="15.421875" style="88" customWidth="1"/>
    <col min="9" max="10" width="9.140625" style="88" customWidth="1"/>
    <col min="11" max="11" width="15.28125" style="88" bestFit="1" customWidth="1"/>
    <col min="12" max="16384" width="9.140625" style="88" customWidth="1"/>
  </cols>
  <sheetData>
    <row r="2" spans="1:8" ht="21">
      <c r="A2" s="251" t="s">
        <v>26</v>
      </c>
      <c r="B2" s="251"/>
      <c r="C2" s="251"/>
      <c r="D2" s="251"/>
      <c r="E2" s="251"/>
      <c r="F2" s="251"/>
      <c r="G2" s="251"/>
      <c r="H2" s="251"/>
    </row>
    <row r="3" spans="1:8" ht="21">
      <c r="A3" s="251" t="s">
        <v>151</v>
      </c>
      <c r="B3" s="251"/>
      <c r="C3" s="251"/>
      <c r="D3" s="251"/>
      <c r="E3" s="251"/>
      <c r="F3" s="251"/>
      <c r="G3" s="251"/>
      <c r="H3" s="251"/>
    </row>
    <row r="4" spans="1:8" ht="21">
      <c r="A4" s="251" t="s">
        <v>205</v>
      </c>
      <c r="B4" s="251"/>
      <c r="C4" s="251"/>
      <c r="D4" s="251"/>
      <c r="E4" s="251"/>
      <c r="F4" s="251"/>
      <c r="G4" s="251"/>
      <c r="H4" s="251"/>
    </row>
    <row r="6" spans="1:8" ht="21">
      <c r="A6" s="252" t="s">
        <v>27</v>
      </c>
      <c r="B6" s="253"/>
      <c r="C6" s="253"/>
      <c r="D6" s="253"/>
      <c r="E6" s="254"/>
      <c r="F6" s="14" t="s">
        <v>28</v>
      </c>
      <c r="G6" s="14" t="s">
        <v>29</v>
      </c>
      <c r="H6" s="14" t="s">
        <v>30</v>
      </c>
    </row>
    <row r="7" spans="1:8" ht="21">
      <c r="A7" s="18" t="s">
        <v>31</v>
      </c>
      <c r="B7" s="19"/>
      <c r="C7" s="19"/>
      <c r="D7" s="19"/>
      <c r="E7" s="81"/>
      <c r="F7" s="82">
        <v>55140</v>
      </c>
      <c r="G7" s="82">
        <v>0</v>
      </c>
      <c r="H7" s="82">
        <f aca="true" t="shared" si="0" ref="H7:H13">F7+G7</f>
        <v>55140</v>
      </c>
    </row>
    <row r="8" spans="1:8" ht="21">
      <c r="A8" s="83" t="s">
        <v>32</v>
      </c>
      <c r="B8" s="84"/>
      <c r="C8" s="84"/>
      <c r="D8" s="84"/>
      <c r="E8" s="85"/>
      <c r="F8" s="86">
        <v>17228.66</v>
      </c>
      <c r="G8" s="87">
        <v>11887.32</v>
      </c>
      <c r="H8" s="86">
        <f t="shared" si="0"/>
        <v>29115.98</v>
      </c>
    </row>
    <row r="9" spans="1:8" ht="21">
      <c r="A9" s="18" t="s">
        <v>33</v>
      </c>
      <c r="B9" s="19"/>
      <c r="C9" s="19"/>
      <c r="D9" s="19"/>
      <c r="E9" s="81"/>
      <c r="F9" s="82">
        <v>1000</v>
      </c>
      <c r="G9" s="82">
        <v>0</v>
      </c>
      <c r="H9" s="82">
        <f t="shared" si="0"/>
        <v>1000</v>
      </c>
    </row>
    <row r="10" spans="1:8" ht="21">
      <c r="A10" s="83" t="s">
        <v>34</v>
      </c>
      <c r="B10" s="84"/>
      <c r="C10" s="84"/>
      <c r="D10" s="84"/>
      <c r="E10" s="85"/>
      <c r="F10" s="86">
        <f>D10+E10</f>
        <v>0</v>
      </c>
      <c r="G10" s="87">
        <v>0</v>
      </c>
      <c r="H10" s="86">
        <f t="shared" si="0"/>
        <v>0</v>
      </c>
    </row>
    <row r="11" spans="1:8" ht="21">
      <c r="A11" s="18" t="s">
        <v>153</v>
      </c>
      <c r="B11" s="19"/>
      <c r="C11" s="19"/>
      <c r="D11" s="19"/>
      <c r="E11" s="81"/>
      <c r="F11" s="82">
        <v>10</v>
      </c>
      <c r="G11" s="82">
        <v>0</v>
      </c>
      <c r="H11" s="82">
        <f t="shared" si="0"/>
        <v>10</v>
      </c>
    </row>
    <row r="12" spans="1:8" ht="21">
      <c r="A12" s="83" t="s">
        <v>152</v>
      </c>
      <c r="B12" s="84"/>
      <c r="C12" s="84"/>
      <c r="D12" s="84"/>
      <c r="E12" s="85"/>
      <c r="F12" s="86">
        <v>280</v>
      </c>
      <c r="G12" s="87">
        <v>50</v>
      </c>
      <c r="H12" s="86">
        <f t="shared" si="0"/>
        <v>330</v>
      </c>
    </row>
    <row r="13" spans="1:8" ht="21">
      <c r="A13" s="18" t="s">
        <v>35</v>
      </c>
      <c r="B13" s="19"/>
      <c r="C13" s="19"/>
      <c r="D13" s="19"/>
      <c r="E13" s="81"/>
      <c r="F13" s="82">
        <v>1500</v>
      </c>
      <c r="G13" s="82">
        <v>0</v>
      </c>
      <c r="H13" s="82">
        <f t="shared" si="0"/>
        <v>1500</v>
      </c>
    </row>
    <row r="14" spans="1:8" ht="21">
      <c r="A14" s="83" t="s">
        <v>36</v>
      </c>
      <c r="B14" s="84"/>
      <c r="C14" s="84"/>
      <c r="D14" s="84"/>
      <c r="E14" s="85"/>
      <c r="F14" s="86">
        <v>0</v>
      </c>
      <c r="G14" s="87">
        <v>0</v>
      </c>
      <c r="H14" s="86">
        <v>0</v>
      </c>
    </row>
    <row r="15" spans="1:8" ht="21">
      <c r="A15" s="18" t="s">
        <v>37</v>
      </c>
      <c r="B15" s="19"/>
      <c r="C15" s="19"/>
      <c r="D15" s="19"/>
      <c r="E15" s="81"/>
      <c r="F15" s="82">
        <v>28325</v>
      </c>
      <c r="G15" s="82">
        <v>0</v>
      </c>
      <c r="H15" s="82">
        <f aca="true" t="shared" si="1" ref="H15:H30">F15+G15</f>
        <v>28325</v>
      </c>
    </row>
    <row r="16" spans="1:8" ht="21">
      <c r="A16" s="83" t="s">
        <v>38</v>
      </c>
      <c r="B16" s="84"/>
      <c r="C16" s="84"/>
      <c r="D16" s="84"/>
      <c r="E16" s="85"/>
      <c r="F16" s="86">
        <v>800</v>
      </c>
      <c r="G16" s="87">
        <v>0</v>
      </c>
      <c r="H16" s="86">
        <f t="shared" si="1"/>
        <v>800</v>
      </c>
    </row>
    <row r="17" spans="1:8" ht="21">
      <c r="A17" s="18" t="s">
        <v>39</v>
      </c>
      <c r="B17" s="19"/>
      <c r="C17" s="19"/>
      <c r="D17" s="19"/>
      <c r="E17" s="81"/>
      <c r="F17" s="82">
        <v>21416.92</v>
      </c>
      <c r="G17" s="82">
        <v>27647.08</v>
      </c>
      <c r="H17" s="82">
        <f t="shared" si="1"/>
        <v>49064</v>
      </c>
    </row>
    <row r="18" spans="1:8" ht="21">
      <c r="A18" s="83" t="s">
        <v>40</v>
      </c>
      <c r="B18" s="84"/>
      <c r="C18" s="84"/>
      <c r="D18" s="84"/>
      <c r="E18" s="85"/>
      <c r="F18" s="86">
        <v>0</v>
      </c>
      <c r="G18" s="87">
        <v>0</v>
      </c>
      <c r="H18" s="86">
        <f t="shared" si="1"/>
        <v>0</v>
      </c>
    </row>
    <row r="19" spans="1:8" ht="21">
      <c r="A19" s="18" t="s">
        <v>41</v>
      </c>
      <c r="B19" s="19"/>
      <c r="C19" s="19"/>
      <c r="D19" s="19"/>
      <c r="E19" s="81"/>
      <c r="F19" s="82">
        <v>0</v>
      </c>
      <c r="G19" s="82">
        <v>0</v>
      </c>
      <c r="H19" s="82">
        <f t="shared" si="1"/>
        <v>0</v>
      </c>
    </row>
    <row r="20" spans="1:11" ht="21">
      <c r="A20" s="83" t="s">
        <v>42</v>
      </c>
      <c r="B20" s="84"/>
      <c r="C20" s="84"/>
      <c r="D20" s="84"/>
      <c r="E20" s="85"/>
      <c r="F20" s="86">
        <v>1711192.08</v>
      </c>
      <c r="G20" s="87">
        <v>553647.66</v>
      </c>
      <c r="H20" s="86">
        <f t="shared" si="1"/>
        <v>2264839.74</v>
      </c>
      <c r="K20" s="89">
        <f>10968099.17-3475200-536000</f>
        <v>6956899.17</v>
      </c>
    </row>
    <row r="21" spans="1:8" ht="21">
      <c r="A21" s="18" t="s">
        <v>43</v>
      </c>
      <c r="B21" s="19"/>
      <c r="C21" s="19"/>
      <c r="D21" s="19"/>
      <c r="E21" s="81"/>
      <c r="F21" s="82">
        <v>826181.57</v>
      </c>
      <c r="G21" s="82">
        <v>237535.24</v>
      </c>
      <c r="H21" s="82">
        <f t="shared" si="1"/>
        <v>1063716.81</v>
      </c>
    </row>
    <row r="22" spans="1:8" ht="21">
      <c r="A22" s="83" t="s">
        <v>44</v>
      </c>
      <c r="B22" s="84"/>
      <c r="C22" s="84"/>
      <c r="D22" s="84"/>
      <c r="E22" s="85"/>
      <c r="F22" s="86">
        <v>17107.78</v>
      </c>
      <c r="G22" s="87">
        <v>0</v>
      </c>
      <c r="H22" s="86">
        <f t="shared" si="1"/>
        <v>17107.78</v>
      </c>
    </row>
    <row r="23" spans="1:8" ht="21">
      <c r="A23" s="18" t="s">
        <v>45</v>
      </c>
      <c r="B23" s="19"/>
      <c r="C23" s="19"/>
      <c r="D23" s="19"/>
      <c r="E23" s="81"/>
      <c r="F23" s="82">
        <v>449254.87</v>
      </c>
      <c r="G23" s="82">
        <v>95000.44</v>
      </c>
      <c r="H23" s="82">
        <f t="shared" si="1"/>
        <v>544255.31</v>
      </c>
    </row>
    <row r="24" spans="1:8" ht="21">
      <c r="A24" s="83" t="s">
        <v>46</v>
      </c>
      <c r="B24" s="84"/>
      <c r="C24" s="84"/>
      <c r="D24" s="84"/>
      <c r="E24" s="85"/>
      <c r="F24" s="86">
        <v>685587.18</v>
      </c>
      <c r="G24" s="87">
        <v>156743.35</v>
      </c>
      <c r="H24" s="86">
        <f t="shared" si="1"/>
        <v>842330.53</v>
      </c>
    </row>
    <row r="25" spans="1:8" ht="21">
      <c r="A25" s="18" t="s">
        <v>47</v>
      </c>
      <c r="B25" s="19"/>
      <c r="C25" s="19"/>
      <c r="D25" s="19"/>
      <c r="E25" s="81"/>
      <c r="F25" s="82">
        <v>20234.56</v>
      </c>
      <c r="G25" s="82">
        <v>17930.25</v>
      </c>
      <c r="H25" s="82">
        <f t="shared" si="1"/>
        <v>38164.81</v>
      </c>
    </row>
    <row r="26" spans="1:11" ht="21">
      <c r="A26" s="83" t="s">
        <v>48</v>
      </c>
      <c r="B26" s="84"/>
      <c r="C26" s="84"/>
      <c r="D26" s="84"/>
      <c r="E26" s="85"/>
      <c r="F26" s="87">
        <v>30247.95</v>
      </c>
      <c r="G26" s="87">
        <v>0</v>
      </c>
      <c r="H26" s="87">
        <f t="shared" si="1"/>
        <v>30247.95</v>
      </c>
      <c r="K26" s="88">
        <f>1455293.84-298731</f>
        <v>1156562.84</v>
      </c>
    </row>
    <row r="27" spans="1:8" ht="21">
      <c r="A27" s="18" t="s">
        <v>49</v>
      </c>
      <c r="B27" s="19"/>
      <c r="C27" s="19"/>
      <c r="D27" s="19"/>
      <c r="E27" s="81"/>
      <c r="F27" s="82">
        <v>0</v>
      </c>
      <c r="G27" s="82">
        <v>2901.5</v>
      </c>
      <c r="H27" s="82">
        <f t="shared" si="1"/>
        <v>2901.5</v>
      </c>
    </row>
    <row r="28" spans="1:8" ht="21">
      <c r="A28" s="83" t="s">
        <v>50</v>
      </c>
      <c r="B28" s="84"/>
      <c r="C28" s="84"/>
      <c r="D28" s="84"/>
      <c r="E28" s="85"/>
      <c r="F28" s="86">
        <v>173742</v>
      </c>
      <c r="G28" s="87">
        <v>53220</v>
      </c>
      <c r="H28" s="86">
        <f t="shared" si="1"/>
        <v>226962</v>
      </c>
    </row>
    <row r="29" spans="1:8" ht="21">
      <c r="A29" s="18" t="s">
        <v>51</v>
      </c>
      <c r="B29" s="19"/>
      <c r="C29" s="19"/>
      <c r="D29" s="19"/>
      <c r="E29" s="81"/>
      <c r="F29" s="82">
        <f>D29+E29</f>
        <v>0</v>
      </c>
      <c r="G29" s="82">
        <v>0</v>
      </c>
      <c r="H29" s="82">
        <f t="shared" si="1"/>
        <v>0</v>
      </c>
    </row>
    <row r="30" spans="1:11" ht="21">
      <c r="A30" s="83" t="s">
        <v>52</v>
      </c>
      <c r="B30" s="84"/>
      <c r="C30" s="84"/>
      <c r="D30" s="84"/>
      <c r="E30" s="85"/>
      <c r="F30" s="86">
        <v>7645440</v>
      </c>
      <c r="G30" s="87">
        <v>0</v>
      </c>
      <c r="H30" s="86">
        <f t="shared" si="1"/>
        <v>7645440</v>
      </c>
      <c r="K30" s="200">
        <f>F31+G31</f>
        <v>12841251.41</v>
      </c>
    </row>
    <row r="31" spans="6:8" ht="21.75" thickBot="1">
      <c r="F31" s="197">
        <f>F7+F8+F9+F10+F11+F12+F13+F14+F15+F16+F17+F18+F19+F20+F21+F22+F23+F24+F25+F26+F27+F28+F29+F30</f>
        <v>11684688.57</v>
      </c>
      <c r="G31" s="198">
        <f>G7+G8+G9+G10+G11+G12+G13+G14+G15+G16+G17+G18+G19+G20+G21+G22+G23+G24+G25+G26+G27+G28+G29+G30</f>
        <v>1156562.84</v>
      </c>
      <c r="H31" s="199">
        <f>H7+H8+H9+H10+H11+H12+H13+H14+H15+H16+H17+H18+H19+H20+H21+H22+H23+H24+H25+H26+H27+H28+H29+H30</f>
        <v>12841251.41</v>
      </c>
    </row>
    <row r="32" ht="21.75" thickTop="1"/>
  </sheetData>
  <mergeCells count="4">
    <mergeCell ref="A2:H2"/>
    <mergeCell ref="A3:H3"/>
    <mergeCell ref="A4:H4"/>
    <mergeCell ref="A6:E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19" sqref="B19"/>
    </sheetView>
  </sheetViews>
  <sheetFormatPr defaultColWidth="9.140625" defaultRowHeight="12.75"/>
  <cols>
    <col min="3" max="3" width="20.57421875" style="0" customWidth="1"/>
    <col min="4" max="4" width="13.140625" style="0" customWidth="1"/>
    <col min="5" max="5" width="12.421875" style="0" customWidth="1"/>
    <col min="6" max="6" width="14.421875" style="0" customWidth="1"/>
    <col min="7" max="7" width="13.57421875" style="0" customWidth="1"/>
  </cols>
  <sheetData>
    <row r="1" spans="1:7" ht="21">
      <c r="A1" s="255" t="s">
        <v>53</v>
      </c>
      <c r="B1" s="255"/>
      <c r="C1" s="255"/>
      <c r="D1" s="255"/>
      <c r="E1" s="255"/>
      <c r="F1" s="255"/>
      <c r="G1" s="255"/>
    </row>
    <row r="2" spans="1:7" ht="21">
      <c r="A2" s="260" t="s">
        <v>169</v>
      </c>
      <c r="B2" s="260"/>
      <c r="C2" s="260"/>
      <c r="D2" s="260"/>
      <c r="E2" s="260"/>
      <c r="F2" s="260"/>
      <c r="G2" s="260"/>
    </row>
    <row r="3" spans="1:7" ht="21">
      <c r="A3" s="261" t="s">
        <v>27</v>
      </c>
      <c r="B3" s="262"/>
      <c r="C3" s="263"/>
      <c r="D3" s="13" t="s">
        <v>28</v>
      </c>
      <c r="E3" s="14" t="s">
        <v>54</v>
      </c>
      <c r="F3" s="13" t="s">
        <v>55</v>
      </c>
      <c r="G3" s="15" t="s">
        <v>30</v>
      </c>
    </row>
    <row r="4" spans="1:7" ht="21">
      <c r="A4" s="264" t="s">
        <v>56</v>
      </c>
      <c r="B4" s="265"/>
      <c r="C4" s="266"/>
      <c r="D4" s="82">
        <v>9225.56</v>
      </c>
      <c r="E4" s="90">
        <v>191.05</v>
      </c>
      <c r="F4" s="16">
        <v>9225.56</v>
      </c>
      <c r="G4" s="82">
        <f aca="true" t="shared" si="0" ref="G4:G9">D4+E4-F4</f>
        <v>191.04999999999927</v>
      </c>
    </row>
    <row r="5" spans="1:7" ht="21">
      <c r="A5" s="18" t="s">
        <v>57</v>
      </c>
      <c r="B5" s="19"/>
      <c r="C5" s="20"/>
      <c r="D5" s="82">
        <v>497007</v>
      </c>
      <c r="E5" s="91">
        <v>12250</v>
      </c>
      <c r="F5" s="92">
        <v>0</v>
      </c>
      <c r="G5" s="82">
        <f t="shared" si="0"/>
        <v>509257</v>
      </c>
    </row>
    <row r="6" spans="1:7" ht="21">
      <c r="A6" s="18" t="s">
        <v>58</v>
      </c>
      <c r="B6" s="19"/>
      <c r="C6" s="21"/>
      <c r="D6" s="82">
        <v>1408.23</v>
      </c>
      <c r="E6" s="82">
        <v>63.14</v>
      </c>
      <c r="F6" s="27">
        <v>0</v>
      </c>
      <c r="G6" s="82">
        <f t="shared" si="0"/>
        <v>1471.3700000000001</v>
      </c>
    </row>
    <row r="7" spans="1:7" ht="21">
      <c r="A7" s="18" t="s">
        <v>59</v>
      </c>
      <c r="B7" s="19"/>
      <c r="C7" s="21"/>
      <c r="D7" s="82">
        <v>1689.9</v>
      </c>
      <c r="E7" s="82">
        <v>75.77</v>
      </c>
      <c r="F7" s="27">
        <v>0</v>
      </c>
      <c r="G7" s="82">
        <f t="shared" si="0"/>
        <v>1765.67</v>
      </c>
    </row>
    <row r="8" spans="1:7" ht="21">
      <c r="A8" s="22" t="s">
        <v>60</v>
      </c>
      <c r="B8" s="23"/>
      <c r="C8" s="24"/>
      <c r="D8" s="93">
        <v>197757.33</v>
      </c>
      <c r="E8" s="93">
        <v>18003.7</v>
      </c>
      <c r="F8" s="94">
        <v>0</v>
      </c>
      <c r="G8" s="93">
        <f t="shared" si="0"/>
        <v>215761.03</v>
      </c>
    </row>
    <row r="9" spans="1:7" ht="21.75" thickBot="1">
      <c r="A9" s="19"/>
      <c r="B9" s="19"/>
      <c r="C9" s="27"/>
      <c r="D9" s="95">
        <f>D4+D5+D6+D7+D8</f>
        <v>707088.02</v>
      </c>
      <c r="E9" s="96">
        <f>E4+E5+E6+E7+E8</f>
        <v>30583.66</v>
      </c>
      <c r="F9" s="97">
        <f>F4+F5+F6+F7+F8</f>
        <v>9225.56</v>
      </c>
      <c r="G9" s="98">
        <f t="shared" si="0"/>
        <v>728446.12</v>
      </c>
    </row>
    <row r="10" spans="1:7" ht="24.75" thickTop="1">
      <c r="A10" s="2"/>
      <c r="B10" s="2"/>
      <c r="C10" s="3"/>
      <c r="D10" s="4"/>
      <c r="E10" s="3"/>
      <c r="F10" s="3"/>
      <c r="G10" s="99"/>
    </row>
    <row r="11" spans="1:7" ht="24">
      <c r="A11" s="2"/>
      <c r="B11" s="2"/>
      <c r="C11" s="3"/>
      <c r="D11" s="4"/>
      <c r="E11" s="3"/>
      <c r="F11" s="3"/>
      <c r="G11" s="99"/>
    </row>
    <row r="12" spans="1:7" ht="25.5" customHeight="1">
      <c r="A12" s="99"/>
      <c r="B12" s="99"/>
      <c r="C12" s="99"/>
      <c r="D12" s="99"/>
      <c r="E12" s="99"/>
      <c r="F12" s="99"/>
      <c r="G12" s="99"/>
    </row>
    <row r="13" spans="1:7" ht="33.75" customHeight="1">
      <c r="A13" s="100"/>
      <c r="B13" s="100"/>
      <c r="C13" s="100"/>
      <c r="D13" s="100"/>
      <c r="E13" s="100"/>
      <c r="F13" s="100"/>
      <c r="G13" s="100"/>
    </row>
    <row r="14" spans="1:7" ht="21">
      <c r="A14" s="255" t="s">
        <v>168</v>
      </c>
      <c r="B14" s="255"/>
      <c r="C14" s="255"/>
      <c r="D14" s="255"/>
      <c r="E14" s="255"/>
      <c r="F14" s="255"/>
      <c r="G14" s="255"/>
    </row>
    <row r="15" spans="1:7" ht="21">
      <c r="A15" s="256" t="s">
        <v>170</v>
      </c>
      <c r="B15" s="256"/>
      <c r="C15" s="256"/>
      <c r="D15" s="256"/>
      <c r="E15" s="256"/>
      <c r="F15" s="256"/>
      <c r="G15" s="256"/>
    </row>
    <row r="16" spans="1:7" ht="21">
      <c r="A16" s="101"/>
      <c r="B16" s="101"/>
      <c r="C16" s="101"/>
      <c r="D16" s="101"/>
      <c r="E16" s="101"/>
      <c r="F16" s="101"/>
      <c r="G16" s="101"/>
    </row>
    <row r="17" spans="1:7" ht="18.75">
      <c r="A17" s="257" t="s">
        <v>27</v>
      </c>
      <c r="B17" s="258"/>
      <c r="C17" s="259"/>
      <c r="D17" s="104" t="s">
        <v>61</v>
      </c>
      <c r="E17" s="105" t="s">
        <v>62</v>
      </c>
      <c r="F17" s="103" t="s">
        <v>63</v>
      </c>
      <c r="G17" s="104" t="s">
        <v>30</v>
      </c>
    </row>
    <row r="18" spans="1:7" ht="18.75">
      <c r="A18" s="267" t="s">
        <v>154</v>
      </c>
      <c r="B18" s="268"/>
      <c r="C18" s="269"/>
      <c r="D18" s="17"/>
      <c r="E18" s="17"/>
      <c r="F18" s="106"/>
      <c r="G18" s="107"/>
    </row>
    <row r="19" spans="1:7" ht="18.75">
      <c r="A19" s="102" t="s">
        <v>155</v>
      </c>
      <c r="B19" s="108"/>
      <c r="C19" s="109"/>
      <c r="D19" s="17">
        <v>652500</v>
      </c>
      <c r="E19" s="17">
        <v>0</v>
      </c>
      <c r="F19" s="106">
        <v>649863</v>
      </c>
      <c r="G19" s="110">
        <f>D19-F19</f>
        <v>2637</v>
      </c>
    </row>
    <row r="20" spans="1:7" ht="18.75">
      <c r="A20" s="267" t="s">
        <v>156</v>
      </c>
      <c r="B20" s="268"/>
      <c r="C20" s="269"/>
      <c r="D20" s="17"/>
      <c r="E20" s="17"/>
      <c r="F20" s="106"/>
      <c r="G20" s="110"/>
    </row>
    <row r="21" spans="1:7" ht="18.75">
      <c r="A21" s="102" t="s">
        <v>157</v>
      </c>
      <c r="B21" s="108"/>
      <c r="C21" s="109"/>
      <c r="D21" s="17">
        <v>25700</v>
      </c>
      <c r="E21" s="17">
        <v>0</v>
      </c>
      <c r="F21" s="106">
        <v>25700</v>
      </c>
      <c r="G21" s="110">
        <v>0</v>
      </c>
    </row>
    <row r="22" spans="1:7" ht="18.75">
      <c r="A22" s="102" t="s">
        <v>158</v>
      </c>
      <c r="B22" s="108"/>
      <c r="C22" s="109"/>
      <c r="D22" s="17">
        <v>50000</v>
      </c>
      <c r="E22" s="17">
        <v>0</v>
      </c>
      <c r="F22" s="106">
        <v>50000</v>
      </c>
      <c r="G22" s="110">
        <v>0</v>
      </c>
    </row>
    <row r="23" spans="1:7" ht="18.75">
      <c r="A23" s="102" t="s">
        <v>159</v>
      </c>
      <c r="B23" s="108"/>
      <c r="C23" s="109"/>
      <c r="D23" s="17">
        <v>16660</v>
      </c>
      <c r="E23" s="17">
        <v>0</v>
      </c>
      <c r="F23" s="106">
        <v>16660</v>
      </c>
      <c r="G23" s="110">
        <v>0</v>
      </c>
    </row>
    <row r="24" spans="1:7" ht="18.75">
      <c r="A24" s="102" t="s">
        <v>160</v>
      </c>
      <c r="B24" s="108"/>
      <c r="C24" s="109"/>
      <c r="D24" s="17">
        <v>50940</v>
      </c>
      <c r="E24" s="17">
        <v>0</v>
      </c>
      <c r="F24" s="106">
        <v>50940</v>
      </c>
      <c r="G24" s="110">
        <v>0</v>
      </c>
    </row>
    <row r="25" spans="1:7" ht="18.75">
      <c r="A25" s="102" t="s">
        <v>161</v>
      </c>
      <c r="B25" s="108"/>
      <c r="C25" s="109"/>
      <c r="D25" s="17">
        <v>2400</v>
      </c>
      <c r="E25" s="17">
        <v>0</v>
      </c>
      <c r="F25" s="106">
        <v>0</v>
      </c>
      <c r="G25" s="110">
        <v>2400</v>
      </c>
    </row>
    <row r="26" spans="1:7" ht="18.75">
      <c r="A26" s="267" t="s">
        <v>162</v>
      </c>
      <c r="B26" s="268"/>
      <c r="C26" s="269"/>
      <c r="D26" s="17"/>
      <c r="E26" s="17"/>
      <c r="F26" s="106"/>
      <c r="G26" s="110"/>
    </row>
    <row r="27" spans="1:7" ht="18.75">
      <c r="A27" s="102" t="s">
        <v>163</v>
      </c>
      <c r="B27" s="108"/>
      <c r="C27" s="109"/>
      <c r="D27" s="17">
        <v>610220.4</v>
      </c>
      <c r="E27" s="17">
        <v>0</v>
      </c>
      <c r="F27" s="106">
        <v>610220.4</v>
      </c>
      <c r="G27" s="110">
        <v>0</v>
      </c>
    </row>
    <row r="28" spans="1:7" ht="18.75">
      <c r="A28" s="267" t="s">
        <v>164</v>
      </c>
      <c r="B28" s="268"/>
      <c r="C28" s="269"/>
      <c r="D28" s="17"/>
      <c r="E28" s="17"/>
      <c r="F28" s="106"/>
      <c r="G28" s="110"/>
    </row>
    <row r="29" spans="1:7" ht="18.75">
      <c r="A29" s="102" t="s">
        <v>167</v>
      </c>
      <c r="B29" s="108"/>
      <c r="C29" s="109"/>
      <c r="D29" s="17">
        <v>85500</v>
      </c>
      <c r="E29" s="17">
        <v>0</v>
      </c>
      <c r="F29" s="106">
        <v>85500</v>
      </c>
      <c r="G29" s="110">
        <v>0</v>
      </c>
    </row>
    <row r="30" spans="1:7" ht="18.75">
      <c r="A30" s="102" t="s">
        <v>165</v>
      </c>
      <c r="B30" s="108"/>
      <c r="C30" s="109"/>
      <c r="D30" s="17">
        <v>314500</v>
      </c>
      <c r="E30" s="17">
        <v>0</v>
      </c>
      <c r="F30" s="106">
        <v>314500</v>
      </c>
      <c r="G30" s="110">
        <v>0</v>
      </c>
    </row>
    <row r="31" spans="1:7" ht="18.75">
      <c r="A31" s="102" t="s">
        <v>166</v>
      </c>
      <c r="B31" s="108"/>
      <c r="C31" s="109"/>
      <c r="D31" s="17">
        <v>85000</v>
      </c>
      <c r="E31" s="17">
        <v>0</v>
      </c>
      <c r="F31" s="106">
        <v>85000</v>
      </c>
      <c r="G31" s="110">
        <v>0</v>
      </c>
    </row>
    <row r="32" spans="1:7" ht="18.75">
      <c r="A32" s="111"/>
      <c r="B32" s="112"/>
      <c r="C32" s="113"/>
      <c r="D32" s="17"/>
      <c r="E32" s="17"/>
      <c r="F32" s="106"/>
      <c r="G32" s="107"/>
    </row>
    <row r="33" spans="1:7" ht="19.5" thickBot="1">
      <c r="A33" s="114"/>
      <c r="B33" s="114"/>
      <c r="C33" s="114"/>
      <c r="D33" s="28">
        <f>D19+D21+D22+D23+D24+D25+D27+D29+D30+D31</f>
        <v>1893420.4</v>
      </c>
      <c r="E33" s="28">
        <f>E19</f>
        <v>0</v>
      </c>
      <c r="F33" s="28">
        <f>F19+F21+F22+F23+F24+F27+F29+F30+F31</f>
        <v>1888383.4</v>
      </c>
      <c r="G33" s="28">
        <f>G19+G25</f>
        <v>5037</v>
      </c>
    </row>
    <row r="34" spans="1:7" ht="18.75" thickTop="1">
      <c r="A34" s="10"/>
      <c r="B34" s="10"/>
      <c r="C34" s="10"/>
      <c r="D34" s="10"/>
      <c r="E34" s="10"/>
      <c r="F34" s="10"/>
      <c r="G34" s="10"/>
    </row>
    <row r="35" spans="1:7" ht="20.25">
      <c r="A35" s="100"/>
      <c r="B35" s="100"/>
      <c r="C35" s="100"/>
      <c r="D35" s="100"/>
      <c r="E35" s="100"/>
      <c r="F35" s="100"/>
      <c r="G35" s="100"/>
    </row>
    <row r="36" spans="1:7" ht="20.25">
      <c r="A36" s="100"/>
      <c r="B36" s="100"/>
      <c r="C36" s="100"/>
      <c r="D36" s="100"/>
      <c r="E36" s="100"/>
      <c r="F36" s="100"/>
      <c r="G36" s="100"/>
    </row>
    <row r="37" spans="1:7" ht="20.25">
      <c r="A37" s="100"/>
      <c r="B37" s="100"/>
      <c r="C37" s="100"/>
      <c r="D37" s="100"/>
      <c r="E37" s="100"/>
      <c r="F37" s="100"/>
      <c r="G37" s="100"/>
    </row>
    <row r="38" spans="1:7" ht="20.25">
      <c r="A38" s="100"/>
      <c r="B38" s="100"/>
      <c r="C38" s="100"/>
      <c r="D38" s="100"/>
      <c r="E38" s="100"/>
      <c r="F38" s="100"/>
      <c r="G38" s="100"/>
    </row>
    <row r="39" spans="1:7" ht="20.25">
      <c r="A39" s="100"/>
      <c r="B39" s="100"/>
      <c r="C39" s="100"/>
      <c r="D39" s="100"/>
      <c r="E39" s="100"/>
      <c r="F39" s="100"/>
      <c r="G39" s="100"/>
    </row>
    <row r="40" spans="1:7" ht="20.25">
      <c r="A40" s="100"/>
      <c r="B40" s="100"/>
      <c r="C40" s="100"/>
      <c r="D40" s="100"/>
      <c r="E40" s="100"/>
      <c r="F40" s="100"/>
      <c r="G40" s="100"/>
    </row>
  </sheetData>
  <mergeCells count="11">
    <mergeCell ref="A20:C20"/>
    <mergeCell ref="A26:C26"/>
    <mergeCell ref="A28:C28"/>
    <mergeCell ref="A18:C18"/>
    <mergeCell ref="A14:G14"/>
    <mergeCell ref="A15:G15"/>
    <mergeCell ref="A17:C17"/>
    <mergeCell ref="A1:G1"/>
    <mergeCell ref="A2:G2"/>
    <mergeCell ref="A3:C3"/>
    <mergeCell ref="A4:C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7" sqref="K7"/>
    </sheetView>
  </sheetViews>
  <sheetFormatPr defaultColWidth="9.140625" defaultRowHeight="12.75"/>
  <cols>
    <col min="3" max="3" width="20.57421875" style="0" customWidth="1"/>
    <col min="4" max="4" width="13.140625" style="0" customWidth="1"/>
    <col min="5" max="5" width="12.421875" style="0" customWidth="1"/>
    <col min="6" max="6" width="14.421875" style="0" customWidth="1"/>
    <col min="7" max="7" width="13.57421875" style="0" customWidth="1"/>
  </cols>
  <sheetData>
    <row r="1" spans="1:7" ht="21">
      <c r="A1" s="255" t="s">
        <v>53</v>
      </c>
      <c r="B1" s="255"/>
      <c r="C1" s="255"/>
      <c r="D1" s="255"/>
      <c r="E1" s="255"/>
      <c r="F1" s="255"/>
      <c r="G1" s="255"/>
    </row>
    <row r="2" spans="1:7" ht="21">
      <c r="A2" s="260" t="s">
        <v>169</v>
      </c>
      <c r="B2" s="260"/>
      <c r="C2" s="260"/>
      <c r="D2" s="260"/>
      <c r="E2" s="260"/>
      <c r="F2" s="260"/>
      <c r="G2" s="260"/>
    </row>
    <row r="3" spans="1:7" ht="21">
      <c r="A3" s="261" t="s">
        <v>27</v>
      </c>
      <c r="B3" s="262"/>
      <c r="C3" s="263"/>
      <c r="D3" s="13" t="s">
        <v>28</v>
      </c>
      <c r="E3" s="14" t="s">
        <v>54</v>
      </c>
      <c r="F3" s="13" t="s">
        <v>55</v>
      </c>
      <c r="G3" s="15" t="s">
        <v>30</v>
      </c>
    </row>
    <row r="4" spans="1:7" ht="21">
      <c r="A4" s="264" t="s">
        <v>56</v>
      </c>
      <c r="B4" s="265"/>
      <c r="C4" s="266"/>
      <c r="D4" s="82">
        <v>12431.53</v>
      </c>
      <c r="E4" s="90">
        <v>9225.56</v>
      </c>
      <c r="F4" s="16">
        <v>12431.53</v>
      </c>
      <c r="G4" s="82">
        <f aca="true" t="shared" si="0" ref="G4:G9">D4+E4-F4</f>
        <v>9225.56</v>
      </c>
    </row>
    <row r="5" spans="1:7" ht="21">
      <c r="A5" s="18" t="s">
        <v>57</v>
      </c>
      <c r="B5" s="19"/>
      <c r="C5" s="20"/>
      <c r="D5" s="82">
        <v>533361</v>
      </c>
      <c r="E5" s="91">
        <v>1996</v>
      </c>
      <c r="F5" s="92">
        <v>38350</v>
      </c>
      <c r="G5" s="82">
        <f t="shared" si="0"/>
        <v>497007</v>
      </c>
    </row>
    <row r="6" spans="1:7" ht="21">
      <c r="A6" s="18" t="s">
        <v>58</v>
      </c>
      <c r="B6" s="19"/>
      <c r="C6" s="21"/>
      <c r="D6" s="82">
        <v>740.4</v>
      </c>
      <c r="E6" s="82">
        <v>667.83</v>
      </c>
      <c r="F6" s="27">
        <v>0</v>
      </c>
      <c r="G6" s="82">
        <f t="shared" si="0"/>
        <v>1408.23</v>
      </c>
    </row>
    <row r="7" spans="1:7" ht="21">
      <c r="A7" s="18" t="s">
        <v>59</v>
      </c>
      <c r="B7" s="19"/>
      <c r="C7" s="21"/>
      <c r="D7" s="82">
        <v>888.5</v>
      </c>
      <c r="E7" s="82">
        <v>801.4</v>
      </c>
      <c r="F7" s="27">
        <v>0</v>
      </c>
      <c r="G7" s="82">
        <f t="shared" si="0"/>
        <v>1689.9</v>
      </c>
    </row>
    <row r="8" spans="1:7" ht="21">
      <c r="A8" s="22" t="s">
        <v>60</v>
      </c>
      <c r="B8" s="23"/>
      <c r="C8" s="24"/>
      <c r="D8" s="93">
        <v>189757.33</v>
      </c>
      <c r="E8" s="93">
        <v>8000</v>
      </c>
      <c r="F8" s="94">
        <v>0</v>
      </c>
      <c r="G8" s="93">
        <f t="shared" si="0"/>
        <v>197757.33</v>
      </c>
    </row>
    <row r="9" spans="1:7" ht="21.75" thickBot="1">
      <c r="A9" s="19"/>
      <c r="B9" s="19"/>
      <c r="C9" s="27"/>
      <c r="D9" s="95">
        <f>D4+D5+D6+D7+D8</f>
        <v>737178.76</v>
      </c>
      <c r="E9" s="96">
        <f>E4+E5+E6+E7+E8</f>
        <v>20690.79</v>
      </c>
      <c r="F9" s="97">
        <f>F4+F5+F6+F7+F8</f>
        <v>50781.53</v>
      </c>
      <c r="G9" s="98">
        <f t="shared" si="0"/>
        <v>707088.02</v>
      </c>
    </row>
    <row r="10" spans="1:7" ht="24.75" thickTop="1">
      <c r="A10" s="2"/>
      <c r="B10" s="2"/>
      <c r="C10" s="3"/>
      <c r="D10" s="4"/>
      <c r="E10" s="3"/>
      <c r="F10" s="3"/>
      <c r="G10" s="99"/>
    </row>
    <row r="11" spans="1:7" ht="24">
      <c r="A11" s="2"/>
      <c r="B11" s="2"/>
      <c r="C11" s="3"/>
      <c r="D11" s="4"/>
      <c r="E11" s="3"/>
      <c r="F11" s="3"/>
      <c r="G11" s="99"/>
    </row>
    <row r="12" spans="1:7" ht="25.5" customHeight="1">
      <c r="A12" s="99"/>
      <c r="B12" s="99"/>
      <c r="C12" s="99"/>
      <c r="D12" s="99"/>
      <c r="E12" s="99"/>
      <c r="F12" s="99"/>
      <c r="G12" s="99"/>
    </row>
    <row r="13" spans="1:7" ht="33.75" customHeight="1">
      <c r="A13" s="100"/>
      <c r="B13" s="100"/>
      <c r="C13" s="100"/>
      <c r="D13" s="100"/>
      <c r="E13" s="100"/>
      <c r="F13" s="100"/>
      <c r="G13" s="100"/>
    </row>
    <row r="14" spans="1:7" ht="21">
      <c r="A14" s="255" t="s">
        <v>168</v>
      </c>
      <c r="B14" s="255"/>
      <c r="C14" s="255"/>
      <c r="D14" s="255"/>
      <c r="E14" s="255"/>
      <c r="F14" s="255"/>
      <c r="G14" s="255"/>
    </row>
    <row r="15" spans="1:7" ht="21">
      <c r="A15" s="256" t="s">
        <v>170</v>
      </c>
      <c r="B15" s="256"/>
      <c r="C15" s="256"/>
      <c r="D15" s="256"/>
      <c r="E15" s="256"/>
      <c r="F15" s="256"/>
      <c r="G15" s="256"/>
    </row>
    <row r="16" spans="1:7" ht="21">
      <c r="A16" s="101"/>
      <c r="B16" s="101"/>
      <c r="C16" s="101"/>
      <c r="D16" s="101"/>
      <c r="E16" s="101"/>
      <c r="F16" s="101"/>
      <c r="G16" s="101"/>
    </row>
    <row r="17" spans="1:7" ht="18.75">
      <c r="A17" s="257" t="s">
        <v>27</v>
      </c>
      <c r="B17" s="258"/>
      <c r="C17" s="259"/>
      <c r="D17" s="104" t="s">
        <v>61</v>
      </c>
      <c r="E17" s="105" t="s">
        <v>62</v>
      </c>
      <c r="F17" s="103" t="s">
        <v>63</v>
      </c>
      <c r="G17" s="104" t="s">
        <v>30</v>
      </c>
    </row>
    <row r="18" spans="1:7" ht="18.75">
      <c r="A18" s="267" t="s">
        <v>154</v>
      </c>
      <c r="B18" s="268"/>
      <c r="C18" s="269"/>
      <c r="D18" s="17"/>
      <c r="E18" s="17"/>
      <c r="F18" s="106"/>
      <c r="G18" s="107"/>
    </row>
    <row r="19" spans="1:7" ht="18.75">
      <c r="A19" s="102" t="s">
        <v>155</v>
      </c>
      <c r="B19" s="108"/>
      <c r="C19" s="109"/>
      <c r="D19" s="17">
        <v>652500</v>
      </c>
      <c r="E19" s="17">
        <v>0</v>
      </c>
      <c r="F19" s="106">
        <v>649863</v>
      </c>
      <c r="G19" s="110">
        <f>D19-F19</f>
        <v>2637</v>
      </c>
    </row>
    <row r="20" spans="1:7" ht="18.75">
      <c r="A20" s="267" t="s">
        <v>156</v>
      </c>
      <c r="B20" s="268"/>
      <c r="C20" s="269"/>
      <c r="D20" s="17"/>
      <c r="E20" s="17"/>
      <c r="F20" s="106"/>
      <c r="G20" s="110"/>
    </row>
    <row r="21" spans="1:7" ht="18.75">
      <c r="A21" s="102" t="s">
        <v>157</v>
      </c>
      <c r="B21" s="108"/>
      <c r="C21" s="109"/>
      <c r="D21" s="17">
        <v>25700</v>
      </c>
      <c r="E21" s="17">
        <v>0</v>
      </c>
      <c r="F21" s="106">
        <v>25700</v>
      </c>
      <c r="G21" s="110">
        <v>0</v>
      </c>
    </row>
    <row r="22" spans="1:7" ht="18.75">
      <c r="A22" s="102" t="s">
        <v>158</v>
      </c>
      <c r="B22" s="108"/>
      <c r="C22" s="109"/>
      <c r="D22" s="17">
        <v>50000</v>
      </c>
      <c r="E22" s="17">
        <v>0</v>
      </c>
      <c r="F22" s="106">
        <v>50000</v>
      </c>
      <c r="G22" s="110">
        <v>0</v>
      </c>
    </row>
    <row r="23" spans="1:7" ht="18.75">
      <c r="A23" s="102" t="s">
        <v>159</v>
      </c>
      <c r="B23" s="108"/>
      <c r="C23" s="109"/>
      <c r="D23" s="17">
        <v>16660</v>
      </c>
      <c r="E23" s="17">
        <v>0</v>
      </c>
      <c r="F23" s="106">
        <v>16660</v>
      </c>
      <c r="G23" s="110">
        <v>0</v>
      </c>
    </row>
    <row r="24" spans="1:7" ht="18.75">
      <c r="A24" s="102" t="s">
        <v>160</v>
      </c>
      <c r="B24" s="108"/>
      <c r="C24" s="109"/>
      <c r="D24" s="17">
        <v>50940</v>
      </c>
      <c r="E24" s="17">
        <v>0</v>
      </c>
      <c r="F24" s="106">
        <v>50940</v>
      </c>
      <c r="G24" s="110">
        <v>0</v>
      </c>
    </row>
    <row r="25" spans="1:7" ht="18.75">
      <c r="A25" s="102" t="s">
        <v>161</v>
      </c>
      <c r="B25" s="108"/>
      <c r="C25" s="109"/>
      <c r="D25" s="17">
        <v>2400</v>
      </c>
      <c r="E25" s="17">
        <v>0</v>
      </c>
      <c r="F25" s="106">
        <v>0</v>
      </c>
      <c r="G25" s="110">
        <v>2400</v>
      </c>
    </row>
    <row r="26" spans="1:7" ht="18.75">
      <c r="A26" s="267" t="s">
        <v>162</v>
      </c>
      <c r="B26" s="268"/>
      <c r="C26" s="269"/>
      <c r="D26" s="17"/>
      <c r="E26" s="17"/>
      <c r="F26" s="106"/>
      <c r="G26" s="110"/>
    </row>
    <row r="27" spans="1:7" ht="18.75">
      <c r="A27" s="102" t="s">
        <v>163</v>
      </c>
      <c r="B27" s="108"/>
      <c r="C27" s="109"/>
      <c r="D27" s="17">
        <v>610220.4</v>
      </c>
      <c r="E27" s="17">
        <v>0</v>
      </c>
      <c r="F27" s="106">
        <v>610220.4</v>
      </c>
      <c r="G27" s="110">
        <v>0</v>
      </c>
    </row>
    <row r="28" spans="1:7" ht="18.75">
      <c r="A28" s="267" t="s">
        <v>164</v>
      </c>
      <c r="B28" s="268"/>
      <c r="C28" s="269"/>
      <c r="D28" s="17"/>
      <c r="E28" s="17"/>
      <c r="F28" s="106"/>
      <c r="G28" s="110"/>
    </row>
    <row r="29" spans="1:7" ht="18.75">
      <c r="A29" s="102" t="s">
        <v>167</v>
      </c>
      <c r="B29" s="108"/>
      <c r="C29" s="109"/>
      <c r="D29" s="17">
        <v>85500</v>
      </c>
      <c r="E29" s="17">
        <v>0</v>
      </c>
      <c r="F29" s="106">
        <v>85500</v>
      </c>
      <c r="G29" s="110">
        <v>0</v>
      </c>
    </row>
    <row r="30" spans="1:7" ht="18.75">
      <c r="A30" s="102" t="s">
        <v>165</v>
      </c>
      <c r="B30" s="108"/>
      <c r="C30" s="109"/>
      <c r="D30" s="17">
        <v>314500</v>
      </c>
      <c r="E30" s="17">
        <v>0</v>
      </c>
      <c r="F30" s="106">
        <v>314500</v>
      </c>
      <c r="G30" s="110">
        <v>0</v>
      </c>
    </row>
    <row r="31" spans="1:7" ht="18.75">
      <c r="A31" s="102" t="s">
        <v>166</v>
      </c>
      <c r="B31" s="108"/>
      <c r="C31" s="109"/>
      <c r="D31" s="17">
        <v>85000</v>
      </c>
      <c r="E31" s="17">
        <v>0</v>
      </c>
      <c r="F31" s="106">
        <v>85000</v>
      </c>
      <c r="G31" s="110">
        <v>0</v>
      </c>
    </row>
    <row r="32" spans="1:7" ht="18.75">
      <c r="A32" s="111"/>
      <c r="B32" s="112"/>
      <c r="C32" s="113"/>
      <c r="D32" s="17"/>
      <c r="E32" s="17"/>
      <c r="F32" s="106"/>
      <c r="G32" s="107"/>
    </row>
    <row r="33" spans="1:7" ht="19.5" thickBot="1">
      <c r="A33" s="114"/>
      <c r="B33" s="114"/>
      <c r="C33" s="114"/>
      <c r="D33" s="28">
        <f>D19+D21+D22+D23+D24+D25+D27+D29+D30+D31</f>
        <v>1893420.4</v>
      </c>
      <c r="E33" s="28">
        <f>E19</f>
        <v>0</v>
      </c>
      <c r="F33" s="28">
        <f>F19+F21+F22+F23+F24+F27+F29+F30+F31</f>
        <v>1888383.4</v>
      </c>
      <c r="G33" s="28">
        <f>G19+G25</f>
        <v>5037</v>
      </c>
    </row>
    <row r="34" spans="1:7" ht="18.75" thickTop="1">
      <c r="A34" s="10"/>
      <c r="B34" s="10"/>
      <c r="C34" s="10"/>
      <c r="D34" s="10"/>
      <c r="E34" s="10"/>
      <c r="F34" s="10"/>
      <c r="G34" s="10"/>
    </row>
    <row r="35" spans="1:7" ht="20.25">
      <c r="A35" s="100"/>
      <c r="B35" s="100"/>
      <c r="C35" s="100"/>
      <c r="D35" s="100"/>
      <c r="E35" s="100"/>
      <c r="F35" s="100"/>
      <c r="G35" s="100"/>
    </row>
    <row r="36" spans="1:7" ht="20.25">
      <c r="A36" s="100"/>
      <c r="B36" s="100"/>
      <c r="C36" s="100"/>
      <c r="D36" s="100"/>
      <c r="E36" s="100"/>
      <c r="F36" s="100"/>
      <c r="G36" s="100"/>
    </row>
    <row r="37" spans="1:7" ht="20.25">
      <c r="A37" s="100"/>
      <c r="B37" s="100"/>
      <c r="C37" s="100"/>
      <c r="D37" s="100"/>
      <c r="E37" s="100"/>
      <c r="F37" s="100"/>
      <c r="G37" s="100"/>
    </row>
    <row r="38" spans="1:7" ht="20.25">
      <c r="A38" s="100"/>
      <c r="B38" s="100"/>
      <c r="C38" s="100"/>
      <c r="D38" s="100"/>
      <c r="E38" s="100"/>
      <c r="F38" s="100"/>
      <c r="G38" s="100"/>
    </row>
    <row r="39" spans="1:7" ht="20.25">
      <c r="A39" s="100"/>
      <c r="B39" s="100"/>
      <c r="C39" s="100"/>
      <c r="D39" s="100"/>
      <c r="E39" s="100"/>
      <c r="F39" s="100"/>
      <c r="G39" s="100"/>
    </row>
    <row r="40" spans="1:7" ht="20.25">
      <c r="A40" s="100"/>
      <c r="B40" s="100"/>
      <c r="C40" s="100"/>
      <c r="D40" s="100"/>
      <c r="E40" s="100"/>
      <c r="F40" s="100"/>
      <c r="G40" s="100"/>
    </row>
  </sheetData>
  <mergeCells count="11">
    <mergeCell ref="A14:G14"/>
    <mergeCell ref="A15:G15"/>
    <mergeCell ref="A17:C17"/>
    <mergeCell ref="A1:G1"/>
    <mergeCell ref="A2:G2"/>
    <mergeCell ref="A3:C3"/>
    <mergeCell ref="A4:C4"/>
    <mergeCell ref="A20:C20"/>
    <mergeCell ref="A26:C26"/>
    <mergeCell ref="A28:C28"/>
    <mergeCell ref="A18:C18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I4" sqref="I4"/>
    </sheetView>
  </sheetViews>
  <sheetFormatPr defaultColWidth="9.140625" defaultRowHeight="12.75"/>
  <cols>
    <col min="6" max="6" width="11.421875" style="0" customWidth="1"/>
    <col min="7" max="7" width="12.8515625" style="0" customWidth="1"/>
    <col min="8" max="8" width="10.8515625" style="0" customWidth="1"/>
    <col min="9" max="9" width="12.140625" style="0" customWidth="1"/>
  </cols>
  <sheetData>
    <row r="1" spans="1:9" ht="24.75" customHeight="1">
      <c r="A1" s="270" t="s">
        <v>135</v>
      </c>
      <c r="B1" s="270"/>
      <c r="C1" s="270"/>
      <c r="D1" s="270"/>
      <c r="E1" s="270"/>
      <c r="F1" s="270"/>
      <c r="G1" s="270"/>
      <c r="H1" s="270"/>
      <c r="I1" s="270"/>
    </row>
    <row r="2" spans="1:9" ht="20.25" customHeight="1">
      <c r="A2" s="271" t="s">
        <v>171</v>
      </c>
      <c r="B2" s="271"/>
      <c r="C2" s="271"/>
      <c r="D2" s="271"/>
      <c r="E2" s="271"/>
      <c r="F2" s="271"/>
      <c r="G2" s="271"/>
      <c r="H2" s="271"/>
      <c r="I2" s="271"/>
    </row>
    <row r="3" spans="1:9" ht="22.5" customHeight="1">
      <c r="A3" s="257" t="s">
        <v>27</v>
      </c>
      <c r="B3" s="258"/>
      <c r="C3" s="258"/>
      <c r="D3" s="258"/>
      <c r="E3" s="259"/>
      <c r="F3" s="104" t="s">
        <v>133</v>
      </c>
      <c r="G3" s="103" t="s">
        <v>62</v>
      </c>
      <c r="H3" s="104" t="s">
        <v>63</v>
      </c>
      <c r="I3" s="104" t="s">
        <v>30</v>
      </c>
    </row>
    <row r="4" spans="1:9" ht="21" customHeight="1">
      <c r="A4" s="115" t="s">
        <v>136</v>
      </c>
      <c r="B4" s="116"/>
      <c r="C4" s="116"/>
      <c r="D4" s="116"/>
      <c r="E4" s="117"/>
      <c r="F4" s="118">
        <v>24234</v>
      </c>
      <c r="G4" s="119">
        <v>0</v>
      </c>
      <c r="H4" s="118">
        <v>24234</v>
      </c>
      <c r="I4" s="118">
        <f>F4-H4</f>
        <v>0</v>
      </c>
    </row>
    <row r="5" spans="1:9" ht="26.25" customHeight="1">
      <c r="A5" s="115"/>
      <c r="B5" s="116"/>
      <c r="C5" s="116"/>
      <c r="D5" s="116"/>
      <c r="E5" s="117"/>
      <c r="F5" s="118"/>
      <c r="G5" s="119"/>
      <c r="H5" s="118"/>
      <c r="I5" s="118"/>
    </row>
    <row r="6" spans="1:9" ht="24.75" customHeight="1">
      <c r="A6" s="115"/>
      <c r="B6" s="116"/>
      <c r="C6" s="116"/>
      <c r="D6" s="116"/>
      <c r="E6" s="117"/>
      <c r="F6" s="118"/>
      <c r="G6" s="119"/>
      <c r="H6" s="118"/>
      <c r="I6" s="118"/>
    </row>
    <row r="7" spans="1:9" ht="27" customHeight="1">
      <c r="A7" s="102"/>
      <c r="B7" s="108"/>
      <c r="C7" s="108"/>
      <c r="D7" s="108"/>
      <c r="E7" s="109"/>
      <c r="F7" s="17"/>
      <c r="G7" s="106"/>
      <c r="H7" s="17"/>
      <c r="I7" s="17"/>
    </row>
    <row r="8" spans="1:9" ht="23.25" customHeight="1" thickBot="1">
      <c r="A8" s="115"/>
      <c r="B8" s="116"/>
      <c r="C8" s="116"/>
      <c r="D8" s="116"/>
      <c r="E8" s="117"/>
      <c r="F8" s="120">
        <f>SUM(F4:F7)</f>
        <v>24234</v>
      </c>
      <c r="G8" s="121">
        <f>SUM(G4:G7)</f>
        <v>0</v>
      </c>
      <c r="H8" s="121">
        <f>SUM(H4:H7)</f>
        <v>24234</v>
      </c>
      <c r="I8" s="121">
        <f>SUM(I4:I7)</f>
        <v>0</v>
      </c>
    </row>
    <row r="9" spans="1:9" ht="18.75" thickTop="1">
      <c r="A9" s="10"/>
      <c r="B9" s="10"/>
      <c r="C9" s="10"/>
      <c r="D9" s="10"/>
      <c r="E9" s="10"/>
      <c r="F9" s="10"/>
      <c r="G9" s="10"/>
      <c r="H9" s="10"/>
      <c r="I9" s="10"/>
    </row>
    <row r="10" spans="1:9" ht="18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8">
      <c r="A11" s="10"/>
      <c r="B11" s="10"/>
      <c r="C11" s="10"/>
      <c r="D11" s="10"/>
      <c r="E11" s="10"/>
      <c r="F11" s="10"/>
      <c r="G11" s="10"/>
      <c r="H11" s="10"/>
      <c r="I11" s="10"/>
    </row>
  </sheetData>
  <mergeCells count="3">
    <mergeCell ref="A1:I1"/>
    <mergeCell ref="A2:I2"/>
    <mergeCell ref="A3:E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K20" sqref="K20"/>
    </sheetView>
  </sheetViews>
  <sheetFormatPr defaultColWidth="9.140625" defaultRowHeight="12.75"/>
  <cols>
    <col min="6" max="6" width="11.421875" style="0" customWidth="1"/>
    <col min="7" max="7" width="12.8515625" style="0" customWidth="1"/>
    <col min="8" max="8" width="10.8515625" style="0" customWidth="1"/>
    <col min="9" max="9" width="12.140625" style="0" customWidth="1"/>
  </cols>
  <sheetData>
    <row r="1" spans="1:9" ht="24.75" customHeight="1">
      <c r="A1" s="270" t="s">
        <v>135</v>
      </c>
      <c r="B1" s="270"/>
      <c r="C1" s="270"/>
      <c r="D1" s="270"/>
      <c r="E1" s="270"/>
      <c r="F1" s="270"/>
      <c r="G1" s="270"/>
      <c r="H1" s="270"/>
      <c r="I1" s="270"/>
    </row>
    <row r="2" spans="1:9" ht="20.25" customHeight="1">
      <c r="A2" s="271" t="s">
        <v>171</v>
      </c>
      <c r="B2" s="271"/>
      <c r="C2" s="271"/>
      <c r="D2" s="271"/>
      <c r="E2" s="271"/>
      <c r="F2" s="271"/>
      <c r="G2" s="271"/>
      <c r="H2" s="271"/>
      <c r="I2" s="271"/>
    </row>
    <row r="3" spans="1:9" ht="22.5" customHeight="1">
      <c r="A3" s="257" t="s">
        <v>27</v>
      </c>
      <c r="B3" s="258"/>
      <c r="C3" s="258"/>
      <c r="D3" s="258"/>
      <c r="E3" s="259"/>
      <c r="F3" s="104" t="s">
        <v>133</v>
      </c>
      <c r="G3" s="103" t="s">
        <v>62</v>
      </c>
      <c r="H3" s="104" t="s">
        <v>63</v>
      </c>
      <c r="I3" s="104" t="s">
        <v>30</v>
      </c>
    </row>
    <row r="4" spans="1:9" ht="21" customHeight="1">
      <c r="A4" s="115" t="s">
        <v>136</v>
      </c>
      <c r="B4" s="116"/>
      <c r="C4" s="116"/>
      <c r="D4" s="116"/>
      <c r="E4" s="117"/>
      <c r="F4" s="118">
        <v>24234</v>
      </c>
      <c r="G4" s="119">
        <v>0</v>
      </c>
      <c r="H4" s="118">
        <v>24234</v>
      </c>
      <c r="I4" s="118">
        <f>F4-H4</f>
        <v>0</v>
      </c>
    </row>
    <row r="5" spans="1:9" ht="26.25" customHeight="1">
      <c r="A5" s="115"/>
      <c r="B5" s="116"/>
      <c r="C5" s="116"/>
      <c r="D5" s="116"/>
      <c r="E5" s="117"/>
      <c r="F5" s="118"/>
      <c r="G5" s="119"/>
      <c r="H5" s="118"/>
      <c r="I5" s="118"/>
    </row>
    <row r="6" spans="1:9" ht="24.75" customHeight="1">
      <c r="A6" s="115"/>
      <c r="B6" s="116"/>
      <c r="C6" s="116"/>
      <c r="D6" s="116"/>
      <c r="E6" s="117"/>
      <c r="F6" s="118"/>
      <c r="G6" s="119"/>
      <c r="H6" s="118"/>
      <c r="I6" s="118"/>
    </row>
    <row r="7" spans="1:9" ht="27" customHeight="1">
      <c r="A7" s="102"/>
      <c r="B7" s="108"/>
      <c r="C7" s="108"/>
      <c r="D7" s="108"/>
      <c r="E7" s="109"/>
      <c r="F7" s="17"/>
      <c r="G7" s="106"/>
      <c r="H7" s="17"/>
      <c r="I7" s="17"/>
    </row>
    <row r="8" spans="1:9" ht="23.25" customHeight="1" thickBot="1">
      <c r="A8" s="115"/>
      <c r="B8" s="116"/>
      <c r="C8" s="116"/>
      <c r="D8" s="116"/>
      <c r="E8" s="117"/>
      <c r="F8" s="120">
        <f>SUM(F4:F7)</f>
        <v>24234</v>
      </c>
      <c r="G8" s="121">
        <f>SUM(G4:G7)</f>
        <v>0</v>
      </c>
      <c r="H8" s="121">
        <f>SUM(H4:H7)</f>
        <v>24234</v>
      </c>
      <c r="I8" s="121">
        <f>SUM(I4:I7)</f>
        <v>0</v>
      </c>
    </row>
    <row r="9" spans="1:9" ht="18.75" thickTop="1">
      <c r="A9" s="10"/>
      <c r="B9" s="10"/>
      <c r="C9" s="10"/>
      <c r="D9" s="10"/>
      <c r="E9" s="10"/>
      <c r="F9" s="10"/>
      <c r="G9" s="10"/>
      <c r="H9" s="10"/>
      <c r="I9" s="10"/>
    </row>
    <row r="10" spans="1:9" ht="18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8">
      <c r="A11" s="10"/>
      <c r="B11" s="10"/>
      <c r="C11" s="10"/>
      <c r="D11" s="10"/>
      <c r="E11" s="10"/>
      <c r="F11" s="10"/>
      <c r="G11" s="10"/>
      <c r="H11" s="10"/>
      <c r="I11" s="10"/>
    </row>
  </sheetData>
  <mergeCells count="3">
    <mergeCell ref="A1:I1"/>
    <mergeCell ref="A2:I2"/>
    <mergeCell ref="A3:E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12" sqref="G12"/>
    </sheetView>
  </sheetViews>
  <sheetFormatPr defaultColWidth="9.140625" defaultRowHeight="12.75"/>
  <cols>
    <col min="4" max="4" width="9.57421875" style="0" customWidth="1"/>
    <col min="5" max="6" width="12.57421875" style="0" customWidth="1"/>
    <col min="7" max="7" width="12.140625" style="0" customWidth="1"/>
    <col min="8" max="8" width="12.28125" style="0" customWidth="1"/>
    <col min="9" max="9" width="12.421875" style="0" customWidth="1"/>
    <col min="12" max="12" width="12.8515625" style="0" bestFit="1" customWidth="1"/>
  </cols>
  <sheetData>
    <row r="1" spans="1:9" ht="18.75">
      <c r="A1" s="271" t="s">
        <v>64</v>
      </c>
      <c r="B1" s="271"/>
      <c r="C1" s="271"/>
      <c r="D1" s="271"/>
      <c r="E1" s="271"/>
      <c r="F1" s="271"/>
      <c r="G1" s="271"/>
      <c r="H1" s="271"/>
      <c r="I1" s="271"/>
    </row>
    <row r="2" spans="1:9" ht="18.75">
      <c r="A2" s="271" t="s">
        <v>172</v>
      </c>
      <c r="B2" s="271"/>
      <c r="C2" s="271"/>
      <c r="D2" s="271"/>
      <c r="E2" s="271"/>
      <c r="F2" s="271"/>
      <c r="G2" s="271"/>
      <c r="H2" s="271"/>
      <c r="I2" s="271"/>
    </row>
    <row r="3" spans="1:9" ht="18.75">
      <c r="A3" s="276" t="s">
        <v>27</v>
      </c>
      <c r="B3" s="277"/>
      <c r="C3" s="277"/>
      <c r="D3" s="277"/>
      <c r="E3" s="257" t="s">
        <v>65</v>
      </c>
      <c r="F3" s="259"/>
      <c r="G3" s="257" t="s">
        <v>66</v>
      </c>
      <c r="H3" s="259"/>
      <c r="I3" s="244" t="s">
        <v>30</v>
      </c>
    </row>
    <row r="4" spans="1:9" ht="18.75">
      <c r="A4" s="278"/>
      <c r="B4" s="243"/>
      <c r="C4" s="243"/>
      <c r="D4" s="243"/>
      <c r="E4" s="104" t="s">
        <v>67</v>
      </c>
      <c r="F4" s="103" t="s">
        <v>68</v>
      </c>
      <c r="G4" s="104" t="s">
        <v>67</v>
      </c>
      <c r="H4" s="104" t="s">
        <v>68</v>
      </c>
      <c r="I4" s="245"/>
    </row>
    <row r="5" spans="1:9" ht="18.75">
      <c r="A5" s="273" t="s">
        <v>174</v>
      </c>
      <c r="B5" s="274"/>
      <c r="C5" s="274"/>
      <c r="D5" s="274"/>
      <c r="E5" s="111"/>
      <c r="F5" s="112"/>
      <c r="G5" s="112"/>
      <c r="H5" s="112"/>
      <c r="I5" s="113"/>
    </row>
    <row r="6" spans="1:9" ht="18.75">
      <c r="A6" s="115" t="s">
        <v>138</v>
      </c>
      <c r="B6" s="116"/>
      <c r="C6" s="116"/>
      <c r="D6" s="116"/>
      <c r="E6" s="118">
        <v>0</v>
      </c>
      <c r="F6" s="119">
        <v>4779900</v>
      </c>
      <c r="G6" s="118">
        <v>421400</v>
      </c>
      <c r="H6" s="118">
        <f>2998100+G6</f>
        <v>3419500</v>
      </c>
      <c r="I6" s="122">
        <f>F6-H6</f>
        <v>1360400</v>
      </c>
    </row>
    <row r="7" spans="1:9" ht="18.75">
      <c r="A7" s="115" t="s">
        <v>139</v>
      </c>
      <c r="B7" s="116"/>
      <c r="C7" s="116"/>
      <c r="D7" s="116"/>
      <c r="E7" s="118">
        <v>0</v>
      </c>
      <c r="F7" s="119">
        <v>808000</v>
      </c>
      <c r="G7" s="118">
        <v>66500</v>
      </c>
      <c r="H7" s="118">
        <f>469000+G7</f>
        <v>535500</v>
      </c>
      <c r="I7" s="122">
        <f>F7-H7</f>
        <v>272500</v>
      </c>
    </row>
    <row r="8" spans="1:9" ht="18.75">
      <c r="A8" s="115" t="s">
        <v>173</v>
      </c>
      <c r="B8" s="116"/>
      <c r="C8" s="116"/>
      <c r="D8" s="116"/>
      <c r="E8" s="118">
        <v>0</v>
      </c>
      <c r="F8" s="119">
        <v>1498000</v>
      </c>
      <c r="G8" s="118">
        <v>0</v>
      </c>
      <c r="H8" s="118">
        <v>1498000</v>
      </c>
      <c r="I8" s="122">
        <f>F8-H8</f>
        <v>0</v>
      </c>
    </row>
    <row r="9" spans="1:9" ht="18.75">
      <c r="A9" s="115"/>
      <c r="B9" s="116"/>
      <c r="C9" s="116"/>
      <c r="D9" s="116"/>
      <c r="E9" s="118"/>
      <c r="F9" s="119"/>
      <c r="G9" s="118"/>
      <c r="H9" s="118"/>
      <c r="I9" s="122">
        <f>F9-H9</f>
        <v>0</v>
      </c>
    </row>
    <row r="10" spans="1:9" ht="18.75">
      <c r="A10" s="275" t="s">
        <v>140</v>
      </c>
      <c r="B10" s="275"/>
      <c r="C10" s="275"/>
      <c r="D10" s="275"/>
      <c r="E10" s="123"/>
      <c r="F10" s="119"/>
      <c r="G10" s="119"/>
      <c r="H10" s="119"/>
      <c r="I10" s="122"/>
    </row>
    <row r="11" spans="1:9" ht="18.75">
      <c r="A11" s="115" t="s">
        <v>142</v>
      </c>
      <c r="B11" s="116"/>
      <c r="C11" s="116"/>
      <c r="D11" s="116"/>
      <c r="E11" s="25">
        <v>0</v>
      </c>
      <c r="F11" s="26">
        <v>0</v>
      </c>
      <c r="G11" s="25">
        <v>0</v>
      </c>
      <c r="H11" s="25">
        <v>0</v>
      </c>
      <c r="I11" s="124">
        <v>0</v>
      </c>
    </row>
    <row r="12" spans="1:9" ht="18.75">
      <c r="A12" s="115" t="s">
        <v>144</v>
      </c>
      <c r="B12" s="116"/>
      <c r="C12" s="116"/>
      <c r="D12" s="116"/>
      <c r="E12" s="118">
        <v>229474</v>
      </c>
      <c r="F12" s="119">
        <f>574251+E12</f>
        <v>803725</v>
      </c>
      <c r="G12" s="118">
        <f>225440+67240+2017</f>
        <v>294697</v>
      </c>
      <c r="H12" s="118">
        <f>502104+G12</f>
        <v>796801</v>
      </c>
      <c r="I12" s="122">
        <f>F12-H12</f>
        <v>6924</v>
      </c>
    </row>
    <row r="13" spans="1:12" ht="18.75">
      <c r="A13" s="115" t="s">
        <v>146</v>
      </c>
      <c r="B13" s="116"/>
      <c r="C13" s="116"/>
      <c r="D13" s="116"/>
      <c r="E13" s="118">
        <v>0</v>
      </c>
      <c r="F13" s="119">
        <v>0</v>
      </c>
      <c r="G13" s="118">
        <v>0</v>
      </c>
      <c r="H13" s="118">
        <v>0</v>
      </c>
      <c r="I13" s="122">
        <f>F13-H13</f>
        <v>0</v>
      </c>
      <c r="L13" s="30">
        <v>3301126.15</v>
      </c>
    </row>
    <row r="14" spans="1:12" ht="18.75">
      <c r="A14" s="272" t="s">
        <v>141</v>
      </c>
      <c r="B14" s="272"/>
      <c r="C14" s="272"/>
      <c r="D14" s="272"/>
      <c r="E14" s="118"/>
      <c r="F14" s="119"/>
      <c r="G14" s="118"/>
      <c r="H14" s="118"/>
      <c r="I14" s="122"/>
      <c r="L14" s="30">
        <v>3112634.15</v>
      </c>
    </row>
    <row r="15" spans="1:12" ht="18.75">
      <c r="A15" s="111" t="s">
        <v>143</v>
      </c>
      <c r="B15" s="112"/>
      <c r="C15" s="112"/>
      <c r="D15" s="112"/>
      <c r="E15" s="25">
        <v>0</v>
      </c>
      <c r="F15" s="26">
        <v>0</v>
      </c>
      <c r="G15" s="25">
        <v>0</v>
      </c>
      <c r="H15" s="25">
        <v>0</v>
      </c>
      <c r="I15" s="25">
        <f>F15-H15</f>
        <v>0</v>
      </c>
      <c r="L15" s="30">
        <f>L13-L14</f>
        <v>188492</v>
      </c>
    </row>
    <row r="16" spans="1:9" ht="18.75">
      <c r="A16" s="116"/>
      <c r="B16" s="116"/>
      <c r="C16" s="116"/>
      <c r="D16" s="116"/>
      <c r="E16" s="118"/>
      <c r="F16" s="119"/>
      <c r="G16" s="123"/>
      <c r="H16" s="118"/>
      <c r="I16" s="118"/>
    </row>
    <row r="17" spans="1:9" ht="18.75">
      <c r="A17" s="115"/>
      <c r="B17" s="116"/>
      <c r="C17" s="116"/>
      <c r="D17" s="116"/>
      <c r="E17" s="118"/>
      <c r="F17" s="119"/>
      <c r="G17" s="123"/>
      <c r="H17" s="118"/>
      <c r="I17" s="118"/>
    </row>
    <row r="18" spans="1:9" ht="18.75">
      <c r="A18" s="125"/>
      <c r="B18" s="116"/>
      <c r="C18" s="116"/>
      <c r="D18" s="116"/>
      <c r="E18" s="118"/>
      <c r="F18" s="119"/>
      <c r="G18" s="123"/>
      <c r="H18" s="118"/>
      <c r="I18" s="118"/>
    </row>
    <row r="19" spans="1:12" ht="19.5" thickBot="1">
      <c r="A19" s="114"/>
      <c r="B19" s="114"/>
      <c r="C19" s="114"/>
      <c r="D19" s="114"/>
      <c r="E19" s="126">
        <f>E6+E11+E12+E13+E14+E15+E16+E17+E18+E7+E8</f>
        <v>229474</v>
      </c>
      <c r="F19" s="29">
        <f>F6+F11+F12+F13+F14+F15+F16+F17+F18+F7+F8</f>
        <v>7889625</v>
      </c>
      <c r="G19" s="126">
        <f>SUM(G6:G18)</f>
        <v>782597</v>
      </c>
      <c r="H19" s="29">
        <f>H6+H11+H12+H13+H14+H15+H16+H7+H8</f>
        <v>6249801</v>
      </c>
      <c r="I19" s="28">
        <f>I6+I7+I8+I9+I11+I12+I13+I14+I15+I16+I17+I18</f>
        <v>1639824</v>
      </c>
      <c r="L19" s="12">
        <f>F19-H19</f>
        <v>1639824</v>
      </c>
    </row>
    <row r="20" spans="1:9" ht="21.75" thickTop="1">
      <c r="A20" s="88"/>
      <c r="B20" s="88"/>
      <c r="C20" s="88"/>
      <c r="D20" s="88"/>
      <c r="E20" s="88"/>
      <c r="F20" s="88"/>
      <c r="G20" s="88"/>
      <c r="H20" s="89"/>
      <c r="I20" s="88"/>
    </row>
    <row r="21" spans="1:9" ht="21">
      <c r="A21" s="88"/>
      <c r="B21" s="88"/>
      <c r="C21" s="88"/>
      <c r="D21" s="88"/>
      <c r="E21" s="88"/>
      <c r="F21" s="88"/>
      <c r="G21" s="88"/>
      <c r="H21" s="88"/>
      <c r="I21" s="88"/>
    </row>
  </sheetData>
  <mergeCells count="9">
    <mergeCell ref="A14:D14"/>
    <mergeCell ref="A5:D5"/>
    <mergeCell ref="A10:D10"/>
    <mergeCell ref="A1:I1"/>
    <mergeCell ref="A2:I2"/>
    <mergeCell ref="A3:D4"/>
    <mergeCell ref="E3:F3"/>
    <mergeCell ref="G3:H3"/>
    <mergeCell ref="I3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2012-06-08T03:22:47Z</cp:lastPrinted>
  <dcterms:created xsi:type="dcterms:W3CDTF">2010-10-11T07:44:50Z</dcterms:created>
  <dcterms:modified xsi:type="dcterms:W3CDTF">2012-06-08T03:22:50Z</dcterms:modified>
  <cp:category/>
  <cp:version/>
  <cp:contentType/>
  <cp:contentStatus/>
</cp:coreProperties>
</file>