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85" windowHeight="5985" firstSheet="1" activeTab="8"/>
  </bookViews>
  <sheets>
    <sheet name="รายจ่าย " sheetId="1" r:id="rId1"/>
    <sheet name="รายรับ " sheetId="2" r:id="rId2"/>
    <sheet name="หมายเหตุ 1" sheetId="3" r:id="rId3"/>
    <sheet name="หมายเหต 6" sheetId="4" r:id="rId4"/>
    <sheet name="หมายเหตุ 4" sheetId="5" r:id="rId5"/>
    <sheet name="หมายเหตุ 2,3 " sheetId="6" r:id="rId6"/>
    <sheet name="ใบผ่าน" sheetId="7" r:id="rId7"/>
    <sheet name="งบทดลอง" sheetId="8" r:id="rId8"/>
    <sheet name="BS" sheetId="9" r:id="rId9"/>
    <sheet name="มาตรฐาน1" sheetId="10" r:id="rId10"/>
    <sheet name="มาตรฐาน2" sheetId="11" r:id="rId11"/>
    <sheet name="มาตรฐาน3" sheetId="12" r:id="rId12"/>
    <sheet name="ใบผ่าน (2)" sheetId="13" r:id="rId13"/>
  </sheets>
  <definedNames/>
  <calcPr fullCalcOnLoad="1"/>
</workbook>
</file>

<file path=xl/sharedStrings.xml><?xml version="1.0" encoding="utf-8"?>
<sst xmlns="http://schemas.openxmlformats.org/spreadsheetml/2006/main" count="1973" uniqueCount="425">
  <si>
    <t>ประมาณการ</t>
  </si>
  <si>
    <t>บาท</t>
  </si>
  <si>
    <t>เกิดขึ้นจริง</t>
  </si>
  <si>
    <t>รายการ</t>
  </si>
  <si>
    <t>รหัส</t>
  </si>
  <si>
    <t>บัญชี</t>
  </si>
  <si>
    <t>เดือนนี้</t>
  </si>
  <si>
    <t>จนถึงปีปัจจุบัน</t>
  </si>
  <si>
    <t>ยอดยกมา</t>
  </si>
  <si>
    <t>รายรับ</t>
  </si>
  <si>
    <t>- ภาษีอากร</t>
  </si>
  <si>
    <t>- เงินอุดหนุน (อบต.)</t>
  </si>
  <si>
    <t>- ภาษีจัดสรร</t>
  </si>
  <si>
    <t>- ค่าธรรมเนียม ค่าปรับ และใบอนุญาต</t>
  </si>
  <si>
    <t>- รายได้จากทรัพย์สิน</t>
  </si>
  <si>
    <t>- รายได้จากการสาธารณูปโภคและการพาณิชย์</t>
  </si>
  <si>
    <t>- รายได้เบ็ดเตล็ด</t>
  </si>
  <si>
    <t>รวมรายรับ</t>
  </si>
  <si>
    <t>รายจ่าย</t>
  </si>
  <si>
    <t>เงินสะสม</t>
  </si>
  <si>
    <t>สำรองเงินรายรับ</t>
  </si>
  <si>
    <t>- งบกลาง</t>
  </si>
  <si>
    <t>- เงินเดือน</t>
  </si>
  <si>
    <t>- ค่าจ้างประจำ</t>
  </si>
  <si>
    <t>- ค่าจ้างชั่วคราว</t>
  </si>
  <si>
    <t>- ค่าตอบแทน</t>
  </si>
  <si>
    <t>- ค่าใช้สอย</t>
  </si>
  <si>
    <t>- ค่าวัสดุ</t>
  </si>
  <si>
    <t>- ค่าสาธารณูปโภค</t>
  </si>
  <si>
    <t>- ค่าครุภัณฑ์</t>
  </si>
  <si>
    <t>- ค่าที่ดินและสิ่งก่อสร้าง</t>
  </si>
  <si>
    <t>- เงินอุดหนุน</t>
  </si>
  <si>
    <t>รวมรายจ่าย</t>
  </si>
  <si>
    <t>ยอดยกไป</t>
  </si>
  <si>
    <t>ปลัดองค์การบริหารส่วนตำบล</t>
  </si>
  <si>
    <t>นายกองค์การบริหารส่วนตำบลนาแว</t>
  </si>
  <si>
    <t>รายงาน รับ - จ่าย เงินสด</t>
  </si>
  <si>
    <t>เงินสด</t>
  </si>
  <si>
    <t>เงินฝากคลังจังหวัดนครศรีธรรมราช 90909/y 980</t>
  </si>
  <si>
    <t>เงินฝากคลังจังหวัด (อำเภอ)ทุ่งสง 90909/5980</t>
  </si>
  <si>
    <t>เงินฝากธนาคารกรุงไทย กระแสรายวัน เพื่อการรับเงิน 814-600865-8</t>
  </si>
  <si>
    <t>เงินฝากธนาคารกรุงไทย ออมทรัพย์ 814-1-21743-7</t>
  </si>
  <si>
    <t>เงินฝากธนาคารกรุงไทย ออมทรัพย์ (บัญชี 2) 814-1-35588-0</t>
  </si>
  <si>
    <t>เงินฝากธนาคาร ธกส.     ออมทรัพย์  890-2-44384-7</t>
  </si>
  <si>
    <t>เงินอุดหนุนทั่วไปฝากจังหวัด</t>
  </si>
  <si>
    <t>เงินงบกลาง</t>
  </si>
  <si>
    <t>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</si>
  <si>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</si>
  <si>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</si>
  <si>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</si>
  <si>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</si>
  <si>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</si>
  <si>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เงินทุนโครงการเศรษฐกิจชุมชน</t>
  </si>
  <si>
    <t>010</t>
  </si>
  <si>
    <t>011</t>
  </si>
  <si>
    <t>021</t>
  </si>
  <si>
    <t>022</t>
  </si>
  <si>
    <t>023</t>
  </si>
  <si>
    <t>090</t>
  </si>
  <si>
    <t>ชื่อบัญชี</t>
  </si>
  <si>
    <t>เดบิต</t>
  </si>
  <si>
    <t>เครดิต</t>
  </si>
  <si>
    <t>งบทดลอง</t>
  </si>
  <si>
    <t>-</t>
  </si>
  <si>
    <t>ใบผ่านรายการบัญชีมาตรฐาน</t>
  </si>
  <si>
    <t>ฝ่าย………………………………………</t>
  </si>
  <si>
    <t>รหัสบัญชี</t>
  </si>
  <si>
    <t>Dr.</t>
  </si>
  <si>
    <t>บ/ช เงินฝากธนาคารกรุงไทย กระแสรายวัน</t>
  </si>
  <si>
    <t>Cr.</t>
  </si>
  <si>
    <t>บ/ช เงินรายรับ</t>
  </si>
  <si>
    <t>บ/ช เงินประกันสัญญา</t>
  </si>
  <si>
    <t>คำอธิบาย เพื่อบันทึก</t>
  </si>
  <si>
    <t>ผู้จัดทำ</t>
  </si>
  <si>
    <t>ผู้อนุมัติ</t>
  </si>
  <si>
    <t>ผู้บันทึกบัญชี</t>
  </si>
  <si>
    <t>บ/ช งบกลาง</t>
  </si>
  <si>
    <t>บ/ช ค่าตอบแทน</t>
  </si>
  <si>
    <t>บ/ช ค่าใช้สอย</t>
  </si>
  <si>
    <t>บ/ช ค่าวัสดุ</t>
  </si>
  <si>
    <t>บ/ช ค่าสาธารณูปโภค</t>
  </si>
  <si>
    <t>บ/ช ภาษีหัก ณ ที่จ่าย</t>
  </si>
  <si>
    <t>บ/ช รายได้จากการจำหน่ายน้ำประปา</t>
  </si>
  <si>
    <t>รวม</t>
  </si>
  <si>
    <t>งบกระทบยอดเงินฝากธนาคาร</t>
  </si>
  <si>
    <t xml:space="preserve">บาท  </t>
  </si>
  <si>
    <t>บวก  เงินฝากระหว่างทาง</t>
  </si>
  <si>
    <t>วันที่ลงบัญชี</t>
  </si>
  <si>
    <t>วันที่ฝากธนาคาร</t>
  </si>
  <si>
    <t>จำนวนเงิน</t>
  </si>
  <si>
    <t>หัก  เช็คจ่ายที่ผู้รับยังไม่นำมาขึ้นเงินกับธนาคาร</t>
  </si>
  <si>
    <t xml:space="preserve">วันที่ </t>
  </si>
  <si>
    <t>เลขที่เช็ค</t>
  </si>
  <si>
    <t>รายละเอียด</t>
  </si>
  <si>
    <t>ผู้ตรวจสอบ</t>
  </si>
  <si>
    <t>ตำแหน่ง  หัวหน้าส่วนการคลัง</t>
  </si>
  <si>
    <t>ใบผ่านรายการบัญชีทั่วไป</t>
  </si>
  <si>
    <t>บ/ช เงินฝากธนาคารกรุงไทย ออมทรัพย์</t>
  </si>
  <si>
    <t>เงินฝากธนาคาร ธกส.     ประจำ        890-4-20014-6</t>
  </si>
  <si>
    <t>เงินรับฝาก (หมายเหตุ 2)</t>
  </si>
  <si>
    <t>ภาษีหน้าฎีกา</t>
  </si>
  <si>
    <t>เงินเบิกตัดปี</t>
  </si>
  <si>
    <t>คงเหลือ</t>
  </si>
  <si>
    <t>เงินอุดหนุนทั่วไปค้างจ่าย (หมายเหตุ 1)</t>
  </si>
  <si>
    <t>รวมจ่าย</t>
  </si>
  <si>
    <t>บ/ช ภาษีโรงเรือนและที่ดิน</t>
  </si>
  <si>
    <t>บ/ช ภาษีบำรุงท้องที่</t>
  </si>
  <si>
    <t>บ/ช เงินฝากธนาคาร กรุงไทย ออมทรัพย์</t>
  </si>
  <si>
    <t>บ/ช ค่าใช้จ่าย 5%</t>
  </si>
  <si>
    <t>บ/ช ส่วนลด 6%</t>
  </si>
  <si>
    <t>บ/ช เงินฝากธนาคารกรุงไทย เพื่อการรับเงิน</t>
  </si>
  <si>
    <t>บ/ช เงินอุดหนุนทั่วไป -ค่าไฟฟ้าโรงสูบน้ำบ้านวังสะพาน (รายจ่ายค้างจ่าย)</t>
  </si>
  <si>
    <t>บ/ช ดอกเบี้ยเงินฝากธนาคาร</t>
  </si>
  <si>
    <t>บ/ช เงินฝากธนาคาร ธกส. เงินฝากประจำ</t>
  </si>
  <si>
    <t>เงินอุดหนุน</t>
  </si>
  <si>
    <t>ค่าที่ดินดินและสิ่งก่อสร้าง</t>
  </si>
  <si>
    <t>เงินทุนสำรองเงินสะสม</t>
  </si>
  <si>
    <t>บ/ช ค่าหุ้นสหกรณ์</t>
  </si>
  <si>
    <t>ตำแหน่ง เจ้าพนักงานการเงินและบัญชี</t>
  </si>
  <si>
    <t>บ/ช เงินฝากธนาคาร ธกส. กระเแสรายวัน</t>
  </si>
  <si>
    <t xml:space="preserve"> </t>
  </si>
  <si>
    <t xml:space="preserve">  </t>
  </si>
  <si>
    <t xml:space="preserve">                        บันทึกข้อความ</t>
  </si>
  <si>
    <t>ส่วนราชการ    ส่วนการคลัง  องค์การบริหารส่วนตำบลนาแว</t>
  </si>
  <si>
    <t>ที่………………………….วันที่    7    ธันวาคม    2548</t>
  </si>
  <si>
    <t>เรื่อง  ขออนุมัติ ถอนบัญชีเงินฝาก  เงินทุนโครงการเศรษฐกิจชุมชน  อบต.นาแว  บัญชี  2</t>
  </si>
  <si>
    <t>---------------------------------------------------------------------------------------------------------------------------------</t>
  </si>
  <si>
    <t>เรียน   นายกองค์การบริหารส่วนตำบลนาแว</t>
  </si>
  <si>
    <t>1.เรื่องเดิม</t>
  </si>
  <si>
    <t xml:space="preserve">           ตามที่  ส่วนการคลัง องค์การบริหารส่วนตำบลนาแว  ได้รับอนุมัติเบิกจ่ายเงินโครงการเศรษฐกิจชุมชน </t>
  </si>
  <si>
    <t>ไปแล้ว  2  หมู่บ้าน  คือ หมู่ที่  4  กลุ่มเกษตรกรบ้านศิลา  จำนวนเงิน  100,000.00 บาท  และ หมู่ที่  6  กลุ่ม</t>
  </si>
  <si>
    <t>เกษตรกาบ้านในไร่  จำนวนเงิน  100,000.00  บาท  รวมเป็นเงิน  200,000.00 บาท  (สองแสนบาทถ้วน)</t>
  </si>
  <si>
    <t>2.ข้อเท็จจริง</t>
  </si>
  <si>
    <t xml:space="preserve">          โครงการเศรษฐกิจชุมชน ดั่งกล่าว ได้จ่ายเช็ค  บัญชีเงินฝากธนาคารกรุงไทยออมทรัพย์  ไป จำนวน</t>
  </si>
  <si>
    <t>200,000.00 บาท    จึ่งขออนุมัติถอนบัญชีเงินฝากเงินทุนโครงการเศรษฐกิจชุมชน อบต.นาแว  บัญชี 2 เพื่อ</t>
  </si>
  <si>
    <t xml:space="preserve">ฝากเข้าบัญชีเงินฝากออมทรัพย์ธนาคารกรุงไทย  สาขาฉวาง  บัญชีเลขที่  814-1-21743-7   จำนวนเงิน </t>
  </si>
  <si>
    <t xml:space="preserve"> 200,000.00 บาท  (สองแสนบาทถ้วน)</t>
  </si>
  <si>
    <t>3.ข้อระเบียบ</t>
  </si>
  <si>
    <t>เพื่อให้การจ่ายเงินเป็นตามวัตถุประสงค์ของโครงการ และปฎิบัติตามระเบียบกระทรวงมหาดไทย ว่าด้วย</t>
  </si>
  <si>
    <t>การรับเงิน การเบิกจ่ายเงิน การเก็บรักษาเงิน และการตรวจเงินขององค์กรปกครองส่วนท้องถิ่น  พ.ศ 2547</t>
  </si>
  <si>
    <t>4.ข้อพิจารณา</t>
  </si>
  <si>
    <t xml:space="preserve">          เพื่อโปรดทราบตามข้อ 1-3  โปรดอนุมัติตามเช็คบัญชีเงินฝากเงินทุนโครงการเศรษฐกิจชุมชน </t>
  </si>
  <si>
    <t>อบต.นาแว  บัญชี 2 บัญชีเลขที่ 814-1-35588-10 เช็คเลขที่ 7511374  จำนวนเงิน  200,000.00  บาท(สอง</t>
  </si>
  <si>
    <t>แสนบาทถ้วน)  ลงวันที่</t>
  </si>
  <si>
    <t xml:space="preserve">                                   (ลงชื่อ)…………………………………...</t>
  </si>
  <si>
    <t xml:space="preserve">                                                  (นางสาววรรณา  ณ นคร)</t>
  </si>
  <si>
    <t xml:space="preserve">                                                        หัวหน้าส่วนการคลัง</t>
  </si>
  <si>
    <t xml:space="preserve">                                    (ลงชื่อ)………………………………..</t>
  </si>
  <si>
    <t xml:space="preserve">                                                     (นางนาตยา  แซ่อึ่ง)</t>
  </si>
  <si>
    <t xml:space="preserve">                                             ปลัดองค์การบริหารส่วนตำบล</t>
  </si>
  <si>
    <t>(ลงชื่อ)………………………………..</t>
  </si>
  <si>
    <t xml:space="preserve">                 (นายพิศิษฐ   สุทธิ)</t>
  </si>
  <si>
    <t>เงินอุดหนุนทั่วไปค้างจ่าย/จ่ายขาดเงินสะสม</t>
  </si>
  <si>
    <t xml:space="preserve">                        ประจำปี  2549</t>
  </si>
  <si>
    <t>รายได้ค้างรับ</t>
  </si>
  <si>
    <t xml:space="preserve">             (ลงชื่อ)..........................................</t>
  </si>
  <si>
    <t>(นางสาวธัญรัตน์   นาคสมวงษ์กุล)</t>
  </si>
  <si>
    <t xml:space="preserve"> บ/ช เงินฝากธนาคารกรุงไทย  ออมทรัพย์</t>
  </si>
  <si>
    <t xml:space="preserve">        ลงชื่อ.......................................</t>
  </si>
  <si>
    <t xml:space="preserve">             ลงชื่อ.........................................</t>
  </si>
  <si>
    <t xml:space="preserve">       ลงชื่อ...........................................</t>
  </si>
  <si>
    <t xml:space="preserve"> หัวหน้าส่วนการคลัง</t>
  </si>
  <si>
    <t>บ/ช ค่าธรรมเนียมจดทะเบียนสิทธิและนิติกรรมที่ดิน</t>
  </si>
  <si>
    <t>รายการโอนเงินฝากธนาคารกรุงไทย  ออมทรัพย์ บัญชีเลขที่  814-1-21743-7  เข้าบัญชีเงินฝากธนาคารกรุงไทยกระแส</t>
  </si>
  <si>
    <t>รายวัน  บัญชีเลขที่  814-6-00778-3</t>
  </si>
  <si>
    <t>รายการโอนเงินฝากธนาคาร ธ.ก.ส. ออมทรัพย์ บัญชีเลขที่  890-2-44384-7 เข้าบัญชีเงินฝากธนาคาร ธ.ก.ส.กระแส</t>
  </si>
  <si>
    <t>บัญชีเลขที่  890-5-00011-9</t>
  </si>
  <si>
    <t>รายจ่ายอื่น</t>
  </si>
  <si>
    <t>บ/ช เงินอุดหนุน</t>
  </si>
  <si>
    <t>บวก หรือ (หัก) รายการกระทบยอดอื่น ๆ</t>
  </si>
  <si>
    <t xml:space="preserve"> บ/ช เงินฝากธนาคารกรุงไทย กระแสรายวัน</t>
  </si>
  <si>
    <t xml:space="preserve"> บ/ช เงินฝากธนาคารธ.ก.ส.  กระแสรายวัน</t>
  </si>
  <si>
    <t xml:space="preserve"> บ/ช เงินฝากธนาคาร ธ.ก.ส. ออมทรัพย์</t>
  </si>
  <si>
    <t>- รายจ่ายอื่น</t>
  </si>
  <si>
    <t xml:space="preserve">           (ลงชื่อ).................................</t>
  </si>
  <si>
    <t>บ/ช ภาษีสุรา</t>
  </si>
  <si>
    <t>บ/ช ภาษีสรรพสามิต</t>
  </si>
  <si>
    <t xml:space="preserve">วันที่    </t>
  </si>
  <si>
    <t xml:space="preserve">ณ วันที่  30  กันยายน  2550  (หลังปิดบัญชี)  </t>
  </si>
  <si>
    <t xml:space="preserve">เงินรับฝาก </t>
  </si>
  <si>
    <t xml:space="preserve">วันที่        </t>
  </si>
  <si>
    <t>บ/ช ค่าธรรมเนียมเกี่ยวกับใบอนุญาตการพนัน</t>
  </si>
  <si>
    <t>บ/ช รายจ่ายอื่น</t>
  </si>
  <si>
    <t>บ/ช ค่าที่ดินและสิ่งก่อสร้าง</t>
  </si>
  <si>
    <t>บ/ช เงินรับฝาก - เงินประกันสัญญา</t>
  </si>
  <si>
    <t>บ/ช ค่าปรับจราจรทางบก</t>
  </si>
  <si>
    <t>บ/ช ค่าครุภัณฑ์</t>
  </si>
  <si>
    <t>บ/ช ค่าภาคหลวงแร่</t>
  </si>
  <si>
    <t>บ/ช ค่าภาคหลวงปิโตรเลียม</t>
  </si>
  <si>
    <t>ค่าใช้สอย-รายจ่ายเกี่ยวเนื่องกับการปฏิบัติราชการที่ไม่เข้าลักษณะรายจ่ายหมวดอื่นๆ</t>
  </si>
  <si>
    <t>บ/ช ลูกหนี้เงินยืม  -เงินงบประมาณ</t>
  </si>
  <si>
    <t>250</t>
  </si>
  <si>
    <t>ส่งใช้เงินยืมตามสัญญายืมเงินเลขที่  28/2551  ลงวันที่  16  กันยายน  2551  จำนวน  10,650.- บาท</t>
  </si>
  <si>
    <r>
      <t>เลขที่</t>
    </r>
    <r>
      <rPr>
        <sz val="14"/>
        <rFont val="Cordia New"/>
        <family val="0"/>
      </rPr>
      <t xml:space="preserve">       48/2551</t>
    </r>
  </si>
  <si>
    <t xml:space="preserve"> วันที่   30  กันยายน 2551</t>
  </si>
  <si>
    <t xml:space="preserve">บ/ช เงินฝากธนาคาร ธกส.  ออมทรัพย์ </t>
  </si>
  <si>
    <r>
      <t>เลขที่</t>
    </r>
    <r>
      <rPr>
        <sz val="14"/>
        <rFont val="Cordia New"/>
        <family val="0"/>
      </rPr>
      <t xml:space="preserve">         50 / 2551</t>
    </r>
  </si>
  <si>
    <t xml:space="preserve"> บ/ช เงินประโยชน์ตอบแทนอื่นเป็นกรณีพิเศษสำหรับข้าราชการหรือพนักงานส่วนท้องถิ่น</t>
  </si>
  <si>
    <t xml:space="preserve"> บ/ช ค่าวัสดุงานบ้านงานครัว อาหารเสริม (นม) - สปช., ศพด., ศดว.</t>
  </si>
  <si>
    <t xml:space="preserve"> บ/ช ค่าวัสดุงานบ้านงานครัว อาหารกลางวัน - ศพด.</t>
  </si>
  <si>
    <t xml:space="preserve"> บ/ช รายจ่ายรอจ่าย</t>
  </si>
  <si>
    <t>รายจ่ายรอจ่ายเงินประโยชน์ตอบแทนอื่นเป็นกรณีพิเศษให้แก่พนักงานส่วนตำบล ลูกจ้างประจำและพนักงานจ้างชั่วคราว</t>
  </si>
  <si>
    <t>ประจำปีงบประมาณ พ.ศ. 2551 ตามข้อบัญญัติงบประมาณรายจ่ายประจำปีงบประมาณ 2551 หน้า 37 ข้อ 1.3.6</t>
  </si>
  <si>
    <t>รายจ่ายรอจ่ายค่าวัสดุงานบ้านงานครัว อาหารเสริม (นม) - สปช., ศพด., ศดว.  ตามบัญชีโอนเงินงบประมาณรายจ่าย</t>
  </si>
  <si>
    <t>ประจำปีงบประมาณ พ.ศ. 2551 อนุมัติเมื่อวันที่ 12 พฤศจิกายน 2550 (เนื่องจากตั้งผิดประเภท)</t>
  </si>
  <si>
    <t>รายจ่ายรอจ่ายค่าวัสดุงานบ้านงานครัว อาหากลางวัน - ศพด.  ตามบัญชีโอนเงินงบประมาณรายจ่าย</t>
  </si>
  <si>
    <t>บัญชีเงินฝากธนาคารกรุงไทย  ออมทรัพย์  สาขาฉวาง</t>
  </si>
  <si>
    <t>บัญชีเงินฝากกระแสรายวันเพื่อการรับเงิน</t>
  </si>
  <si>
    <t>บ/ช เงินฝากธนาคารกรุงไทย ออมทรัพย์  (บัญชี 2)</t>
  </si>
  <si>
    <t>บ/ช เงินทุนโครงการเศรษฐกิจชุมชน  บัญชี 2</t>
  </si>
  <si>
    <t>บ/ช เงินเดือนฝ่ายการเมือง</t>
  </si>
  <si>
    <t>บ/ช เงินเดือนฝ่ายประจำ</t>
  </si>
  <si>
    <t>บ/ช ค่าธรรมเนียมอื่น ๆ</t>
  </si>
  <si>
    <t>บ/ช ภาษีมูลค่าเพิ่มตาม พรบ.</t>
  </si>
  <si>
    <t>110203</t>
  </si>
  <si>
    <t>110201</t>
  </si>
  <si>
    <t xml:space="preserve">รายการโอนเงินฝากธนาคารกรุงไทย  กระแสรายวันเพื่อการรับเงิน  บัญชีเลขที่  814-6-00865-8  เข้าบัญชีเงินฝากธนาคารกรุงไทย    </t>
  </si>
  <si>
    <t>ส่วนลด 6%</t>
  </si>
  <si>
    <t>การรับ</t>
  </si>
  <si>
    <t>การจ่าย</t>
  </si>
  <si>
    <t>เลขที่  2/12/51</t>
  </si>
  <si>
    <t>วันที่  31  ธันวาคม 2551</t>
  </si>
  <si>
    <t>บ/ช เงินอุดหนุนทั่วไประบุวัตถุประสงค์ด้านการศึกษา - ศดว.</t>
  </si>
  <si>
    <t>บ/ช จ่ายขาดเงินสะสม</t>
  </si>
  <si>
    <t>รายการจากทะเบียนเงินสดจ่าย ไปเข้าบัญชีแยกประเภทที่เกี่ยวข้อง  ประจำเดือนธันวาคม  2551</t>
  </si>
  <si>
    <r>
      <t>เลขที่</t>
    </r>
    <r>
      <rPr>
        <sz val="14"/>
        <rFont val="Cordia New"/>
        <family val="0"/>
      </rPr>
      <t xml:space="preserve">            9/2552</t>
    </r>
  </si>
  <si>
    <t xml:space="preserve"> วันที่   31 ธันวาคม  2551</t>
  </si>
  <si>
    <r>
      <t>เลขที่</t>
    </r>
    <r>
      <rPr>
        <sz val="14"/>
        <rFont val="Cordia New"/>
        <family val="0"/>
      </rPr>
      <t xml:space="preserve">                10 /2552</t>
    </r>
  </si>
  <si>
    <t xml:space="preserve">  ออมทรัพย์  เลขที่  814-1-21743-7  จำนวน  139,462.29  บาท</t>
  </si>
  <si>
    <r>
      <t>เลขที่</t>
    </r>
    <r>
      <rPr>
        <sz val="14"/>
        <color indexed="8"/>
        <rFont val="Cordia New"/>
        <family val="2"/>
      </rPr>
      <t xml:space="preserve">  1/12/51</t>
    </r>
  </si>
  <si>
    <r>
      <t>วันที่</t>
    </r>
    <r>
      <rPr>
        <sz val="14"/>
        <color indexed="8"/>
        <rFont val="Cordia New"/>
        <family val="2"/>
      </rPr>
      <t xml:space="preserve">  31 ธันวาคม  2551</t>
    </r>
  </si>
  <si>
    <t>รายการจากสมุดเงินสดรับ ไปเข้าบัญชีแยกประเภทที่เกี่ยวข้อง ประจำเดือนธันวาคม  2551</t>
  </si>
  <si>
    <r>
      <t>เลขที่</t>
    </r>
    <r>
      <rPr>
        <sz val="14"/>
        <color indexed="8"/>
        <rFont val="Cordia New"/>
        <family val="2"/>
      </rPr>
      <t xml:space="preserve">  3/12/51</t>
    </r>
  </si>
  <si>
    <r>
      <t>วันที่</t>
    </r>
    <r>
      <rPr>
        <sz val="14"/>
        <color indexed="8"/>
        <rFont val="Cordia New"/>
        <family val="2"/>
      </rPr>
      <t xml:space="preserve">   31  ธันวาคม  2551</t>
    </r>
  </si>
  <si>
    <t>บ/ช ค่าขายแบบแปลน</t>
  </si>
  <si>
    <t>บ/ช รายได้เบ็ดเตล็ดอื่น</t>
  </si>
  <si>
    <t>บ/ช ภาษีมูลค่าเพิ่ม 1/9</t>
  </si>
  <si>
    <t>บ/ช เงินอุดหนุนระบุวัตถุประสงค์ด้านการศึกษา-ค่าตอบแทนครู ศดว.</t>
  </si>
  <si>
    <t>บ/ช เงินอุดหนุนระบุวัตถุประสงค์ด้านการศึกษา-เงินเพิ่มค่าครองชีพครู ศดว.</t>
  </si>
  <si>
    <t>บ/ช เงินอุดหนุนระบุวัตถุประสงค์ด้านการศึกษา-เงินสมทบกองทุนประกันสังคม</t>
  </si>
  <si>
    <t>บ/ช ค่าจ้างลูกจ้างประจำถ่ายโอน (Reserve Revenue)</t>
  </si>
  <si>
    <t>บ/ช เงินเพิ่มลูกจ้างประจำถ่ายโอน (Reserve Revenue)</t>
  </si>
  <si>
    <t>บ/ช เงินสมทบ กสจ. (Reserve Revenue)</t>
  </si>
  <si>
    <t>รายการจากทะเบียนเงินรายรับ ไปเข้าบัญชีแยกประเภทที่เกี่ยวข้อง ประจำเดือนธันวาคม  2551</t>
  </si>
  <si>
    <t>องค์การบริหารส่วนตำบลเขาน้อย อำเภอสิชล จังหวัดนครศรีธรรมราช</t>
  </si>
  <si>
    <t xml:space="preserve">ณ วันที่  31  ตุลาคม  2552  </t>
  </si>
  <si>
    <t>องค์การบริหารส่วนตำบลเขาน้อยอำเภอสิชล  จังหวัดนครศรีธรรมราช</t>
  </si>
  <si>
    <t>รายรับ  (หมายเหตุประกอบงบทดลอง 1)</t>
  </si>
  <si>
    <t>ประจำเดือน  ตุลาคม  2552</t>
  </si>
  <si>
    <t>ภาษีโรงเรือนและที่ดิน</t>
  </si>
  <si>
    <t>ภาษีบำรุงท้องที่</t>
  </si>
  <si>
    <t>ภาษีป้าย</t>
  </si>
  <si>
    <t>อากรฆ่าสัตว์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</si>
  <si>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</si>
  <si>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</si>
  <si>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ค่าธรรมเนียมอื่น</t>
  </si>
  <si>
    <t>ค่าปรับผู้กระทำผิดกฎหมายจราจรทางบก</t>
  </si>
  <si>
    <t>ค่าปรับการผิดสัญญา</t>
  </si>
  <si>
    <t>ค่าเช่าหรือบริการสถานที่</t>
  </si>
  <si>
    <t>ดอกเบี้ย</t>
  </si>
  <si>
    <t>ค่าขายแบบแปลน</t>
  </si>
  <si>
    <t>รายได้เบ็ดเตล็ดอื่น</t>
  </si>
  <si>
    <t>ภาษีมูลค่าเพิ่มตาม พ.ร.บ. กำหนดแผน</t>
  </si>
  <si>
    <t>ภาษีมูลค่าเพิ่ม 1/9</t>
  </si>
  <si>
    <t>ภาษีธุรกิจเฉพาะ</t>
  </si>
  <si>
    <t>ภาษีสุรา</t>
  </si>
  <si>
    <t>ภาษีสรรพสามิต</t>
  </si>
  <si>
    <t>ค่าภาคหลวงปิโตรเลียม</t>
  </si>
  <si>
    <t>ค่าธรรมเนียมจาการจดทะเบียนสิทธิและนิติกรรมที่ดิน</t>
  </si>
  <si>
    <t>ภาษีจัดสรรอื่น</t>
  </si>
  <si>
    <t>เงินอุดหนุนทั่วไปสำหรับดำเนินการตามอำนาจหน้าที่</t>
  </si>
  <si>
    <t>ค่าภาคหลวงแร่</t>
  </si>
  <si>
    <t>เงินที่เก็บตามกฎหมายว่าด้วยอุทยานแห่งชาติ</t>
  </si>
  <si>
    <t>รับเดือนนี้</t>
  </si>
  <si>
    <t>เงินรับฝาก - เงินประกันสัญญา</t>
  </si>
  <si>
    <t>ค่าใช้จ่าย 5%</t>
  </si>
  <si>
    <t>รับ</t>
  </si>
  <si>
    <t>จ่าย</t>
  </si>
  <si>
    <t xml:space="preserve">เงินรับฝาก  </t>
  </si>
  <si>
    <t xml:space="preserve">รายจ่ายรอจ่าย  </t>
  </si>
  <si>
    <t>เงินเดือนผู้บริหาร</t>
  </si>
  <si>
    <t>ค่าตอบแทนสมาชิกสภา  อบต.</t>
  </si>
  <si>
    <t>ค่าตอบแทนอื่นเป็นกรณีพิเศษ ฯ</t>
  </si>
  <si>
    <t>เงินอนุมัติ</t>
  </si>
  <si>
    <t>เบิกจ่ายเดือนนี้</t>
  </si>
  <si>
    <t>หมวดเงินเดือนและค่าจ้างประจำ</t>
  </si>
  <si>
    <t>หมวดค่าตอบแทน</t>
  </si>
  <si>
    <t>รายจ่ายค้างจ่ายระหว่างดำเนินการ</t>
  </si>
  <si>
    <t>1. ค่าจ้างเหมาประกอบอาหาร  ศพด. บ้านสำนักเนียน</t>
  </si>
  <si>
    <t>2. ค่าจ้างเหมาประกอบอาหาร ศพด. บ้านทุ่งขันหมาก</t>
  </si>
  <si>
    <t>3. ค่าจ้างเหมาประกอบอาหาร ศพด. บ้านเขาใหญ่</t>
  </si>
  <si>
    <t>4. ค่าจ้างเหมาประกอบอาหาร ศดว. วัดเขาน้อย</t>
  </si>
  <si>
    <t>5. ค่าจ้างตัดหญ้าไหล่ทาง</t>
  </si>
  <si>
    <t>6. ค่าซ่อมแซมเรือพนมพระวัดเขาน้อย</t>
  </si>
  <si>
    <t>7. ค่าจ้างเหมาประกอบอาหารประเพณีชักพระ</t>
  </si>
  <si>
    <t>1. อาหารเสริม(นม) โรงเรียนและศูนย์พัฒนาเด็กเล็ก</t>
  </si>
  <si>
    <t>เงินอุดหนุนระบุวัตถุประสงค์ ,เงินอุดหนุนพาะกิจ</t>
  </si>
  <si>
    <t xml:space="preserve">1. เงินอุดหนุนระบุวัตถุประสงค์ </t>
  </si>
  <si>
    <t>2.  เงินอุดหนุนเฉพาะกิจ</t>
  </si>
  <si>
    <t>1.1 เงินอุดหนุนระบุวัตถุด้านการศึกษา</t>
  </si>
  <si>
    <t>1.2 เงินอุดหนุนศูนย์พัฒนาครอบครัวในชุมชน</t>
  </si>
  <si>
    <t>เงินรับฝาก - ภาษีหัก ณ ที่จ่าย</t>
  </si>
  <si>
    <t>เงินอุดหนุนทั่วไป - ค้างจ่าย</t>
  </si>
  <si>
    <t>ยอดยกมา 1 ต.ค.52</t>
  </si>
  <si>
    <t>1. เงินอุดหนุนอาหารเสริม (นม) ป5-6 เพิ่มเติม</t>
  </si>
  <si>
    <t>ลูกหนี้เงินยืมเงินงบประมาณ</t>
  </si>
  <si>
    <t>เงินฝากธนาคารกรุงไทย กระแสรายวัน เพื่อการรับเงิน 828-6-00853-7</t>
  </si>
  <si>
    <t>เงินฝากธนาคารกรุงไทย ออมทรัพย์ 828-0-34727-5</t>
  </si>
  <si>
    <t>เงินฝากธนาคาร ธกส.     ออมทรัพย์  315-2-36479-9</t>
  </si>
  <si>
    <t>เงินฝากธนาคาร ธกส.     ออมทรัพย์  (บัญชี 2)  315-2-38545-8</t>
  </si>
  <si>
    <t>ค่าจ้างประจำ</t>
  </si>
  <si>
    <t>ค่าจ้างชั่วคราว</t>
  </si>
  <si>
    <t>000</t>
  </si>
  <si>
    <t>เงินรายรับ (หมายเหตุ 1 )</t>
  </si>
  <si>
    <t>รายจ่ายรอจ่าย (หมายเหตุ  3)</t>
  </si>
  <si>
    <t>รายจ่ายค้างจ่ายระหว่างดำเนินการ  (หมายเหตุ 4)</t>
  </si>
  <si>
    <t>เงินอุดหนุนทั่วไปค้างจ่าย  (หมายเหตุ 5)</t>
  </si>
  <si>
    <t>เงินอุดหนุนทั่วไประบุวัตถุประสงค์  (หมายเหตุ 6)</t>
  </si>
  <si>
    <t>ประจำเดือน  ตุลาคม  พ.ศ. 2552</t>
  </si>
  <si>
    <t>เงินอุดหนุนทั่วไประบุวัตถุประสงค์ (หมายเหตุ 6)</t>
  </si>
  <si>
    <t>องค์การบริหารส่วนตำบลเขาน้อย</t>
  </si>
  <si>
    <t>อำเภอสิชล  จังหวัดนครศรีธรรมราช  ปีงบประมาณ  2553</t>
  </si>
  <si>
    <t>เงินอุดหนุนทั่วไปค้างจ่าย (หมายเหตุ5)</t>
  </si>
  <si>
    <t>รายจ่ายค้างจ่ายระหว่างดำเนินการ (หมายเหตุ4)</t>
  </si>
  <si>
    <t>รายจ่ายรอจ่าย  (หมายเหตุ 3)</t>
  </si>
  <si>
    <t>เงินอุดหนุนทั่วไป  (หมายเหตุ 7)</t>
  </si>
  <si>
    <t>0100</t>
  </si>
  <si>
    <t>0120</t>
  </si>
  <si>
    <t>0200</t>
  </si>
  <si>
    <t>0250</t>
  </si>
  <si>
    <t>0300</t>
  </si>
  <si>
    <t xml:space="preserve">   รายรับ (ต่ำกว่า)   รายจ่าย</t>
  </si>
  <si>
    <t>(นางสาวนัดธิดา  เหลื่อมแก้ว)</t>
  </si>
  <si>
    <t>(นายสุเทพ  สมทรัพย์)</t>
  </si>
  <si>
    <t>(นายวันรัตน์  เกลี้ยงขำ)</t>
  </si>
  <si>
    <t>นายกองค์การบริหารส่วนตำบลเขาน้อย</t>
  </si>
  <si>
    <t>องค์บริหารส่วนตำบลเขาน้อย</t>
  </si>
  <si>
    <t>ธนาคาร  ธกส. (ออมทรัพย์) สาขาสิชล</t>
  </si>
  <si>
    <t>เลขที่บัญชี  315-2-36479-9</t>
  </si>
  <si>
    <t>ยอดคงเหลือตามบัญชี ณ วันที่   31  ตุลาคม  2552</t>
  </si>
  <si>
    <t>1.2 เงินอุดหนุนโครงการก่อสร้างถนนลาดยางแอสฟัลติก</t>
  </si>
  <si>
    <t>1.1 เงินอุดหนุนเบี้ยยังชีพผู้สูงอายุตามนโยบายเร่งด่วน</t>
  </si>
  <si>
    <t xml:space="preserve">ณ วันที่  30  พฤศจิกายน  2552  </t>
  </si>
  <si>
    <t>ประจำเดือน  พฤศจิกายน  2552</t>
  </si>
  <si>
    <t>หมายเหตุ  2  ประกอบงบทดลอง  (ประจำเดือนพฤศจิกายน 2552)</t>
  </si>
  <si>
    <t>หมายเหตุ  3  ประกอบงบทดลอง  (ประจำเดือนพฤศจิกายน 2552)</t>
  </si>
  <si>
    <t>หมายเหตุ  2  ประกอบงบทดลอง  (ประจำเดือนตุลาคม 2552)</t>
  </si>
  <si>
    <t>หมายเหตุ  3  ประกอบงบทดลอง (ประจำเดือนตุลาคม 2552)</t>
  </si>
  <si>
    <t>หมายเหตุ  4  ประกอบงบทดลอง  (ประจำเดือนตุลาคม 2552)</t>
  </si>
  <si>
    <t>หมายเหตุ  5  ประกอบงบทดลอง  (ประจำเดือนตุลาคม 2552)</t>
  </si>
  <si>
    <t>หมายเหตุ  4  ประกอบงบทดลอง  (ประจำเดือนพฤศจิกายน 2552)</t>
  </si>
  <si>
    <t>หมายเหตุ  5  ประกอบงบทดลอง  (ประจำเดือนพฤศจิกายน 2552)</t>
  </si>
  <si>
    <t>หมายเหตุประกอบงบทดลอง  6  (ประจำเดือนพฤศจิกายน 2552)</t>
  </si>
  <si>
    <t>หมายเหตุประกอบงบทดลอง  6  (ประจำเดือนกุมภาพันธ์  2553)</t>
  </si>
  <si>
    <t>หมายเหตุประกอบงบทดลอง  6  (ประจำเดือนพฤษภาคม  2553)</t>
  </si>
  <si>
    <t>หมายเหตุประกอบงบทดลอง  6 (ประจำเดือนมิถุนายน  2553)</t>
  </si>
  <si>
    <t>หมายเหตุประกอบงบทดลอง  6  (ประจำเดือนกรกฎาคม  2553)</t>
  </si>
  <si>
    <t>หมายเหตุประกอบงบทดลอง  6  (ประจำเดือนสิงหาคม 2553)</t>
  </si>
  <si>
    <t>หมายเหตุประกอบงบทดลอง  6  (ประจำเดือน กันยายน 2553)</t>
  </si>
  <si>
    <t>ประจำเดือน  พฤศจิกายน  พ.ศ. 2552</t>
  </si>
  <si>
    <t>พฤศจิกายน 52</t>
  </si>
  <si>
    <t>ตุลาคม 2552</t>
  </si>
  <si>
    <t>ลูกหนี้เงินยืมเงินนอกงบประมาณ</t>
  </si>
  <si>
    <t>เงินอุดหนุนทั่วไป  (หมายเหตุ 6)</t>
  </si>
  <si>
    <t xml:space="preserve">ณ วันที่  31  ธันวาคม  2552  </t>
  </si>
  <si>
    <t>ประจำเดือน  ธันวาคม  2552</t>
  </si>
  <si>
    <t>หมายเหตุ  2  ประกอบงบทดลอง  (ประจำเดือนธันวาคม 2552)</t>
  </si>
  <si>
    <t>หมายเหตุ  3  ประกอบงบทดลอง  (ประจำเดือนธันวาคม 2552)</t>
  </si>
  <si>
    <t>หมายเหตุ  4  ประกอบงบทดลอง  (ประจำเดือนธันวาคม 2552)</t>
  </si>
  <si>
    <t>หมายเหตุ  5  ประกอบงบทดลอง  (ประจำเดือนธันวาคม 2552)</t>
  </si>
  <si>
    <t>หมายเหตุประกอบงบทดลอง  6  (ประจำเดือนธันวาคม 2552)</t>
  </si>
  <si>
    <t>1.3 เงินสนับสนุนศูนย์พัฒนาเด็กเล็ก</t>
  </si>
  <si>
    <t>ประจำเดือน  ธันวาคม  พ.ศ. 2552</t>
  </si>
  <si>
    <t>ธนาคาร  กรุงไทย (ออมทรัพย์) สาขาท่าศาลา</t>
  </si>
  <si>
    <t>เลขที่บัญชี  828-0-34727-5</t>
  </si>
  <si>
    <t xml:space="preserve">ยอดคงเหลือตามรายงานธนาคาร ณ วันที่  31  ธันวาคม  2552 </t>
  </si>
  <si>
    <t>ดอกเบี้ยเงินฝากที่กิจการยังไม่ลงรับ</t>
  </si>
  <si>
    <t>วันที่ 31  ธันวาคม  2552</t>
  </si>
  <si>
    <t>วันที่  31 ธันวาคม  2552</t>
  </si>
  <si>
    <t>ประจำเดือน  มกราคม  2553</t>
  </si>
  <si>
    <t>หมายเหตุ  2  ประกอบงบทดลอง  (ประจำเดือนมกราคม 2553)</t>
  </si>
  <si>
    <t>หมายเหตุ  3  ประกอบงบทดลอง  (ประจำเดือนมกราคม  2553)</t>
  </si>
  <si>
    <t>หมายเหตุ  4  ประกอบงบทดลอง  (ประจำเดือนมกราคม  2553)</t>
  </si>
  <si>
    <t>หมายเหตุ  5  ประกอบงบทดลอง  (ประจำเดือนมกราคม  2553)</t>
  </si>
  <si>
    <t>1.1 เงินอุดหนุนศูนย์พัฒนาครอบครัวในชุมชน</t>
  </si>
  <si>
    <t xml:space="preserve">ณ วันที่  31  มกราคม  2553  </t>
  </si>
  <si>
    <t>หมายเหตุประกอบงบทดลอง  6  (ประจำเดือนมกราคม  2553)</t>
  </si>
  <si>
    <t>8227852</t>
  </si>
  <si>
    <t xml:space="preserve">ณ วันที่  28  กุมภาพันธ์  2553  </t>
  </si>
  <si>
    <t>ประจำเดือน  กุมภาพันธ์  2553</t>
  </si>
  <si>
    <t>หมายเหตุ  2  ประกอบงบทดลอง  (ประจำเดือนกุมภาพันธ์ 2553)</t>
  </si>
  <si>
    <t>หมายเหตุ  3  ประกอบงบทดลอง  (ประจำเดือนกุมภาพันธ์  2553)</t>
  </si>
  <si>
    <t>ประจำเดือน กุมภาพันธ์  2553</t>
  </si>
  <si>
    <t>ก.พ.</t>
  </si>
  <si>
    <t>ตำแหน่ง หัวหน้าส่วนการคลัง</t>
  </si>
  <si>
    <t xml:space="preserve">ณ วันที่  31  มีนาคม  2553  </t>
  </si>
  <si>
    <t>ประจำเดือน  มีนาคม  2553</t>
  </si>
  <si>
    <t>หมายเหตุ  2  ประกอบงบทดลอง  (ประจำเดือนมีนาคม 2553)</t>
  </si>
  <si>
    <t>หมายเหตุ  3  ประกอบงบทดลอง  (ประจำเดือนมีนาคม  2553)</t>
  </si>
  <si>
    <t>ประจำเดือน มีนาคม  2553</t>
  </si>
  <si>
    <t xml:space="preserve">ณ วันที่  30  เมษายน  2553  </t>
  </si>
  <si>
    <t>ประจำเดือน  เมษายน  2553</t>
  </si>
  <si>
    <t>หมายเหตุ  2  ประกอบงบทดลอง  (ประจำเดือนเมษายน 2553)</t>
  </si>
  <si>
    <t>หมายเหตุ  3  ประกอบงบทดลอง  (ประจำเดือนเมษายน  2553)</t>
  </si>
  <si>
    <t>1.4 เงินอุดหนุนเบี้ยยังชีพคนพิการ</t>
  </si>
  <si>
    <t>หมายเหตุประกอบงบทดลอง  6  (ประจำเดือนเมษายน  2553)</t>
  </si>
  <si>
    <t>ประจำเดือน เมษายน  2553</t>
  </si>
  <si>
    <t xml:space="preserve">ณ วันที่  31  พฤษภาคม  2553  </t>
  </si>
  <si>
    <t>ประจำเดือน พฤษภาคม  2553</t>
  </si>
  <si>
    <t>หมายเหตุ  2  ประกอบงบทดลอง  (ประจำเดือนพฤษภาคม 2553)</t>
  </si>
  <si>
    <t>หมายเหตุ  3  ประกอบงบทดลอง  (ประจำเดือนพฤษภาคม  2553)</t>
  </si>
  <si>
    <t>1.3 เงินสนับสนุนศูนยพัฒนาเด็กเล็ก</t>
  </si>
  <si>
    <t>1.5 เงินอุดหนุนโครงการไทยเข็มแข็ง (โครงการก่อสร้างถนน คสล. ม.7)</t>
  </si>
  <si>
    <t>รายการที่ธนาคารสั่งจ่ายเงินไม่ได้</t>
  </si>
  <si>
    <t xml:space="preserve">ณ วันที่  30  มิถุนายน  2553  </t>
  </si>
  <si>
    <t>ประจำเดือน มิถุนายน  2553</t>
  </si>
  <si>
    <t>หมายเหตุ  2  ประกอบงบทดลอง  (ประจำเดือนมิถุนายน 2553)</t>
  </si>
  <si>
    <t>หมายเหตุ  3  ประกอบงบทดลอง  (ประจำเดือนมิถุนายน  2553)</t>
  </si>
  <si>
    <t>หมายเหตุ  4  ประกอบงบทดลอง  (ประจำเดือนมิถุนายน  2553)</t>
  </si>
  <si>
    <t>หมายเหตุ  5  ประกอบงบทดลอง  (ประจำเดือนมิถุนายน  2553)</t>
  </si>
  <si>
    <t xml:space="preserve">ยอดคงเหลือตามรายงานธนาคาร ณ วันที่  30  มิถุนายน  2553 </t>
  </si>
  <si>
    <t>ยอดคงเหลือตามบัญชี ณ วันที่   30 มิถุนายน  2553</t>
  </si>
  <si>
    <t>วันที่ 30  มิถุนายน  2553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</si>
  <si>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</si>
  <si>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8231263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</si>
</sst>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t&quot;฿&quot;#,##0_);\(#,##0\)"/>
    <numFmt numFmtId="200" formatCode="t&quot;฿&quot;#,##0.0_);\(#,##0.0\)"/>
    <numFmt numFmtId="201" formatCode="t&quot;฿&quot;#,##0.00_);\(#,##0.00\)"/>
    <numFmt numFmtId="202" formatCode="#,##0.0"/>
    <numFmt numFmtId="203" formatCode="_-* #,##0.0_-;\-* #,##0.0_-;_-* &quot;-&quot;??_-;_-@_-"/>
    <numFmt numFmtId="204" formatCode="_-* #,##0_-;\-* #,##0_-;_-* &quot;-&quot;??_-;_-@_-"/>
    <numFmt numFmtId="205" formatCode="t&quot;฿&quot;#,##0_);\(t#,##0\)"/>
    <numFmt numFmtId="206" formatCode="\(#,##0.00\)"/>
    <numFmt numFmtId="207" formatCode="0.00000000000"/>
    <numFmt numFmtId="208" formatCode="0.0000000000"/>
    <numFmt numFmtId="209" formatCode="0.000000000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_-* #,##0.000_-;\-* #,##0.000_-;_-* &quot;-&quot;??_-;_-@_-"/>
    <numFmt numFmtId="217" formatCode="00000"/>
    <numFmt numFmtId="218" formatCode="0.0"/>
    <numFmt numFmtId="219" formatCode="_-* #,##0.0000_-;\-* #,##0.0000_-;_-* &quot;-&quot;??_-;_-@_-"/>
    <numFmt numFmtId="220" formatCode="_-* #,##0.00000_-;\-* #,##0.00000_-;_-* &quot;-&quot;??_-;_-@_-"/>
    <numFmt numFmtId="221" formatCode="_-* #,##0.000000_-;\-* #,##0.000000_-;_-* &quot;-&quot;??_-;_-@_-"/>
    <numFmt numFmtId="222" formatCode="#,##0.00_ ;\-#,##0.00\ "/>
    <numFmt numFmtId="223" formatCode="#,##0;\(#,##0\)"/>
    <numFmt numFmtId="224" formatCode="#,##0.0;\(#,##0.0\)"/>
    <numFmt numFmtId="225" formatCode="#,##0.00;\(#,##0.00\)"/>
    <numFmt numFmtId="226" formatCode="[$-41E]d\ mmmm\ yyyy"/>
    <numFmt numFmtId="227" formatCode="[$-101041E]d\ mmm\ yy;@"/>
    <numFmt numFmtId="228" formatCode="0_ ;\-0\ "/>
    <numFmt numFmtId="229" formatCode="[$-107041E]d\ mmmm\ yyyy;@"/>
    <numFmt numFmtId="230" formatCode="[$-F800]dddd\,\ mmmm\ dd\,\ yyyy"/>
  </numFmts>
  <fonts count="39">
    <font>
      <sz val="14"/>
      <name val="Cordia New"/>
      <family val="0"/>
    </font>
    <font>
      <b/>
      <sz val="14"/>
      <name val="Cordia New"/>
      <family val="2"/>
    </font>
    <font>
      <b/>
      <sz val="18"/>
      <name val="Cordia New"/>
      <family val="2"/>
    </font>
    <font>
      <sz val="14"/>
      <color indexed="10"/>
      <name val="Cordia New"/>
      <family val="2"/>
    </font>
    <font>
      <u val="single"/>
      <sz val="14"/>
      <name val="Cordia New"/>
      <family val="2"/>
    </font>
    <font>
      <sz val="14"/>
      <color indexed="8"/>
      <name val="Cordia New"/>
      <family val="2"/>
    </font>
    <font>
      <b/>
      <sz val="12"/>
      <name val="Cordia New"/>
      <family val="2"/>
    </font>
    <font>
      <b/>
      <sz val="14"/>
      <color indexed="8"/>
      <name val="Cordia New"/>
      <family val="2"/>
    </font>
    <font>
      <sz val="16"/>
      <color indexed="8"/>
      <name val="Cordia New"/>
      <family val="2"/>
    </font>
    <font>
      <b/>
      <sz val="18"/>
      <color indexed="8"/>
      <name val="Cordia New"/>
      <family val="2"/>
    </font>
    <font>
      <b/>
      <sz val="16"/>
      <color indexed="8"/>
      <name val="Cordia New"/>
      <family val="2"/>
    </font>
    <font>
      <b/>
      <u val="single"/>
      <sz val="14"/>
      <color indexed="8"/>
      <name val="Cordia New"/>
      <family val="2"/>
    </font>
    <font>
      <sz val="18"/>
      <name val="Cordia New"/>
      <family val="2"/>
    </font>
    <font>
      <u val="single"/>
      <sz val="14"/>
      <color indexed="8"/>
      <name val="Cordia New"/>
      <family val="2"/>
    </font>
    <font>
      <sz val="16"/>
      <name val="Cordia New"/>
      <family val="0"/>
    </font>
    <font>
      <sz val="12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2"/>
      <color indexed="8"/>
      <name val="Cordia New"/>
      <family val="2"/>
    </font>
    <font>
      <sz val="8"/>
      <name val="Cordia New"/>
      <family val="0"/>
    </font>
    <font>
      <b/>
      <sz val="12"/>
      <color indexed="8"/>
      <name val="Cordia New"/>
      <family val="2"/>
    </font>
    <font>
      <sz val="12"/>
      <color indexed="10"/>
      <name val="Cordia New"/>
      <family val="2"/>
    </font>
    <font>
      <b/>
      <sz val="12"/>
      <color indexed="10"/>
      <name val="Cordia New"/>
      <family val="2"/>
    </font>
    <font>
      <b/>
      <sz val="20"/>
      <name val="Cordia New"/>
      <family val="2"/>
    </font>
    <font>
      <sz val="15"/>
      <color indexed="8"/>
      <name val="Cordia New"/>
      <family val="2"/>
    </font>
    <font>
      <sz val="13"/>
      <name val="Cordia New"/>
      <family val="2"/>
    </font>
    <font>
      <b/>
      <u val="doubleAccounting"/>
      <sz val="14"/>
      <name val="Cordia New"/>
      <family val="2"/>
    </font>
    <font>
      <b/>
      <u val="doubleAccounting"/>
      <sz val="16"/>
      <color indexed="8"/>
      <name val="Cordia New"/>
      <family val="2"/>
    </font>
    <font>
      <b/>
      <u val="singleAccounting"/>
      <sz val="16"/>
      <color indexed="8"/>
      <name val="Cordia New"/>
      <family val="2"/>
    </font>
    <font>
      <b/>
      <u val="doubleAccounting"/>
      <sz val="14"/>
      <color indexed="8"/>
      <name val="Cordia New"/>
      <family val="2"/>
    </font>
    <font>
      <b/>
      <u val="singleAccounting"/>
      <sz val="14"/>
      <name val="Cordia New"/>
      <family val="0"/>
    </font>
    <font>
      <b/>
      <sz val="16"/>
      <name val="Cordia New"/>
      <family val="2"/>
    </font>
    <font>
      <sz val="13"/>
      <color indexed="8"/>
      <name val="Cordia New"/>
      <family val="2"/>
    </font>
    <font>
      <sz val="11"/>
      <color indexed="8"/>
      <name val="Cordia New"/>
      <family val="2"/>
    </font>
    <font>
      <b/>
      <sz val="16"/>
      <name val="Browallia New"/>
      <family val="2"/>
    </font>
    <font>
      <b/>
      <u val="single"/>
      <sz val="14"/>
      <name val="Cordia New"/>
      <family val="2"/>
    </font>
    <font>
      <sz val="20"/>
      <color indexed="8"/>
      <name val="Cordia New"/>
      <family val="2"/>
    </font>
    <font>
      <sz val="11"/>
      <name val="Cordia New"/>
      <family val="0"/>
    </font>
    <font>
      <sz val="11"/>
      <name val="Angsana New"/>
      <family val="1"/>
    </font>
  </fonts>
  <fills count="3">
    <fill>
      <patternFill/>
    </fill>
    <fill>
      <patternFill patternType="gray125"/>
    </fill>
    <fill>
      <patternFill patternType="gray06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43" fontId="0" fillId="0" borderId="0" xfId="17" applyAlignment="1">
      <alignment/>
    </xf>
    <xf numFmtId="0" fontId="0" fillId="0" borderId="8" xfId="0" applyBorder="1" applyAlignment="1" quotePrefix="1">
      <alignment horizontal="center"/>
    </xf>
    <xf numFmtId="43" fontId="0" fillId="0" borderId="9" xfId="17" applyBorder="1" applyAlignment="1">
      <alignment/>
    </xf>
    <xf numFmtId="43" fontId="0" fillId="0" borderId="8" xfId="17" applyBorder="1" applyAlignment="1">
      <alignment/>
    </xf>
    <xf numFmtId="0" fontId="2" fillId="0" borderId="0" xfId="0" applyFont="1" applyAlignment="1">
      <alignment horizontal="center"/>
    </xf>
    <xf numFmtId="43" fontId="0" fillId="0" borderId="0" xfId="17" applyBorder="1" applyAlignment="1">
      <alignment/>
    </xf>
    <xf numFmtId="43" fontId="1" fillId="0" borderId="0" xfId="17" applyFont="1" applyAlignment="1">
      <alignment horizontal="left"/>
    </xf>
    <xf numFmtId="14" fontId="0" fillId="0" borderId="0" xfId="17" applyNumberFormat="1" applyAlignment="1">
      <alignment horizontal="left"/>
    </xf>
    <xf numFmtId="15" fontId="0" fillId="0" borderId="0" xfId="17" applyNumberFormat="1" applyFont="1" applyAlignment="1" quotePrefix="1">
      <alignment horizontal="lef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8" xfId="0" applyBorder="1" applyAlignment="1">
      <alignment/>
    </xf>
    <xf numFmtId="43" fontId="0" fillId="0" borderId="2" xfId="17" applyBorder="1" applyAlignment="1">
      <alignment/>
    </xf>
    <xf numFmtId="0" fontId="0" fillId="0" borderId="3" xfId="0" applyBorder="1" applyAlignment="1">
      <alignment/>
    </xf>
    <xf numFmtId="43" fontId="0" fillId="0" borderId="10" xfId="17" applyBorder="1" applyAlignment="1">
      <alignment/>
    </xf>
    <xf numFmtId="43" fontId="0" fillId="0" borderId="11" xfId="17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 quotePrefix="1">
      <alignment horizontal="left"/>
    </xf>
    <xf numFmtId="0" fontId="2" fillId="0" borderId="4" xfId="0" applyFont="1" applyBorder="1" applyAlignment="1">
      <alignment/>
    </xf>
    <xf numFmtId="43" fontId="2" fillId="0" borderId="7" xfId="17" applyFont="1" applyBorder="1" applyAlignment="1">
      <alignment/>
    </xf>
    <xf numFmtId="43" fontId="2" fillId="0" borderId="5" xfId="17" applyFont="1" applyBorder="1" applyAlignment="1">
      <alignment/>
    </xf>
    <xf numFmtId="43" fontId="2" fillId="0" borderId="5" xfId="17" applyFont="1" applyBorder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43" fontId="2" fillId="0" borderId="10" xfId="17" applyFont="1" applyBorder="1" applyAlignment="1">
      <alignment/>
    </xf>
    <xf numFmtId="43" fontId="2" fillId="0" borderId="11" xfId="17" applyFont="1" applyBorder="1" applyAlignment="1">
      <alignment/>
    </xf>
    <xf numFmtId="43" fontId="2" fillId="0" borderId="11" xfId="17" applyFont="1" applyBorder="1" applyAlignment="1">
      <alignment/>
    </xf>
    <xf numFmtId="43" fontId="0" fillId="0" borderId="7" xfId="17" applyBorder="1" applyAlignment="1">
      <alignment/>
    </xf>
    <xf numFmtId="43" fontId="0" fillId="0" borderId="7" xfId="17" applyBorder="1" applyAlignment="1">
      <alignment/>
    </xf>
    <xf numFmtId="43" fontId="1" fillId="0" borderId="2" xfId="17" applyFont="1" applyBorder="1" applyAlignment="1">
      <alignment horizontal="center"/>
    </xf>
    <xf numFmtId="43" fontId="0" fillId="0" borderId="0" xfId="17" applyBorder="1" applyAlignment="1">
      <alignment/>
    </xf>
    <xf numFmtId="43" fontId="4" fillId="0" borderId="0" xfId="17" applyFont="1" applyBorder="1" applyAlignment="1">
      <alignment horizontal="center"/>
    </xf>
    <xf numFmtId="43" fontId="4" fillId="0" borderId="0" xfId="17" applyFont="1" applyBorder="1" applyAlignment="1">
      <alignment/>
    </xf>
    <xf numFmtId="43" fontId="0" fillId="0" borderId="0" xfId="17" applyFont="1" applyBorder="1" applyAlignment="1">
      <alignment horizontal="center"/>
    </xf>
    <xf numFmtId="15" fontId="0" fillId="0" borderId="0" xfId="17" applyNumberFormat="1" applyFont="1" applyBorder="1" applyAlignment="1" quotePrefix="1">
      <alignment horizontal="center"/>
    </xf>
    <xf numFmtId="43" fontId="0" fillId="0" borderId="0" xfId="17" applyFont="1" applyBorder="1" applyAlignment="1" quotePrefix="1">
      <alignment horizontal="center"/>
    </xf>
    <xf numFmtId="43" fontId="0" fillId="0" borderId="0" xfId="17" applyAlignment="1">
      <alignment/>
    </xf>
    <xf numFmtId="43" fontId="5" fillId="0" borderId="8" xfId="17" applyFont="1" applyBorder="1" applyAlignment="1">
      <alignment/>
    </xf>
    <xf numFmtId="0" fontId="1" fillId="0" borderId="12" xfId="0" applyFont="1" applyBorder="1" applyAlignment="1">
      <alignment horizontal="center"/>
    </xf>
    <xf numFmtId="43" fontId="1" fillId="0" borderId="12" xfId="17" applyFont="1" applyBorder="1" applyAlignment="1">
      <alignment horizontal="center"/>
    </xf>
    <xf numFmtId="0" fontId="0" fillId="0" borderId="0" xfId="0" applyAlignment="1">
      <alignment horizontal="right"/>
    </xf>
    <xf numFmtId="43" fontId="5" fillId="0" borderId="0" xfId="17" applyFont="1" applyAlignment="1">
      <alignment/>
    </xf>
    <xf numFmtId="43" fontId="5" fillId="0" borderId="0" xfId="17" applyFont="1" applyBorder="1" applyAlignment="1">
      <alignment/>
    </xf>
    <xf numFmtId="43" fontId="2" fillId="0" borderId="0" xfId="17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3" fontId="5" fillId="0" borderId="9" xfId="17" applyFont="1" applyBorder="1" applyAlignment="1">
      <alignment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/>
    </xf>
    <xf numFmtId="43" fontId="5" fillId="0" borderId="8" xfId="17" applyFont="1" applyBorder="1" applyAlignment="1" quotePrefix="1">
      <alignment horizontal="center"/>
    </xf>
    <xf numFmtId="0" fontId="5" fillId="0" borderId="1" xfId="0" applyFont="1" applyBorder="1" applyAlignment="1">
      <alignment/>
    </xf>
    <xf numFmtId="43" fontId="5" fillId="0" borderId="12" xfId="17" applyFont="1" applyBorder="1" applyAlignment="1">
      <alignment/>
    </xf>
    <xf numFmtId="43" fontId="8" fillId="0" borderId="0" xfId="17" applyFont="1" applyAlignment="1">
      <alignment/>
    </xf>
    <xf numFmtId="43" fontId="8" fillId="0" borderId="0" xfId="17" applyFont="1" applyAlignment="1" quotePrefix="1">
      <alignment horizontal="center"/>
    </xf>
    <xf numFmtId="43" fontId="8" fillId="0" borderId="8" xfId="17" applyFont="1" applyBorder="1" applyAlignment="1">
      <alignment/>
    </xf>
    <xf numFmtId="15" fontId="0" fillId="0" borderId="0" xfId="17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4" fontId="5" fillId="0" borderId="0" xfId="17" applyNumberFormat="1" applyFont="1" applyAlignment="1">
      <alignment horizontal="left"/>
    </xf>
    <xf numFmtId="15" fontId="5" fillId="0" borderId="0" xfId="17" applyNumberFormat="1" applyFont="1" applyAlignment="1" quotePrefix="1">
      <alignment horizontal="left"/>
    </xf>
    <xf numFmtId="0" fontId="7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43" fontId="5" fillId="0" borderId="12" xfId="17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 quotePrefix="1">
      <alignment horizontal="center"/>
    </xf>
    <xf numFmtId="43" fontId="5" fillId="0" borderId="8" xfId="17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43" fontId="5" fillId="0" borderId="13" xfId="17" applyFont="1" applyBorder="1" applyAlignment="1">
      <alignment/>
    </xf>
    <xf numFmtId="0" fontId="7" fillId="0" borderId="9" xfId="0" applyFont="1" applyBorder="1" applyAlignment="1">
      <alignment horizontal="center"/>
    </xf>
    <xf numFmtId="0" fontId="5" fillId="0" borderId="8" xfId="0" applyFont="1" applyBorder="1" applyAlignment="1">
      <alignment/>
    </xf>
    <xf numFmtId="43" fontId="5" fillId="0" borderId="2" xfId="17" applyFont="1" applyBorder="1" applyAlignment="1">
      <alignment/>
    </xf>
    <xf numFmtId="0" fontId="5" fillId="0" borderId="3" xfId="0" applyFont="1" applyBorder="1" applyAlignment="1">
      <alignment/>
    </xf>
    <xf numFmtId="43" fontId="5" fillId="0" borderId="10" xfId="17" applyFont="1" applyBorder="1" applyAlignment="1">
      <alignment/>
    </xf>
    <xf numFmtId="43" fontId="5" fillId="0" borderId="11" xfId="17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5" fillId="0" borderId="9" xfId="0" applyFont="1" applyBorder="1" applyAlignment="1" quotePrefix="1">
      <alignment horizontal="center"/>
    </xf>
    <xf numFmtId="43" fontId="8" fillId="0" borderId="8" xfId="17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43" fontId="8" fillId="0" borderId="7" xfId="17" applyFont="1" applyBorder="1" applyAlignment="1">
      <alignment horizontal="center"/>
    </xf>
    <xf numFmtId="43" fontId="8" fillId="0" borderId="9" xfId="17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3" fontId="8" fillId="0" borderId="10" xfId="17" applyFont="1" applyBorder="1" applyAlignment="1">
      <alignment horizontal="center"/>
    </xf>
    <xf numFmtId="43" fontId="8" fillId="0" borderId="3" xfId="17" applyFont="1" applyBorder="1" applyAlignment="1">
      <alignment horizontal="center"/>
    </xf>
    <xf numFmtId="0" fontId="8" fillId="0" borderId="8" xfId="0" applyFont="1" applyBorder="1" applyAlignment="1" quotePrefix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3" fontId="8" fillId="0" borderId="15" xfId="17" applyFont="1" applyBorder="1" applyAlignment="1">
      <alignment/>
    </xf>
    <xf numFmtId="43" fontId="0" fillId="0" borderId="0" xfId="17" applyFont="1" applyBorder="1" applyAlignment="1" quotePrefix="1">
      <alignment/>
    </xf>
    <xf numFmtId="43" fontId="0" fillId="0" borderId="0" xfId="17" applyFont="1" applyBorder="1" applyAlignment="1">
      <alignment horizontal="left"/>
    </xf>
    <xf numFmtId="43" fontId="0" fillId="0" borderId="0" xfId="17" applyFont="1" applyBorder="1" applyAlignment="1">
      <alignment/>
    </xf>
    <xf numFmtId="43" fontId="0" fillId="0" borderId="0" xfId="17" applyFont="1" applyBorder="1" applyAlignment="1">
      <alignment/>
    </xf>
    <xf numFmtId="43" fontId="7" fillId="0" borderId="0" xfId="17" applyFont="1" applyAlignment="1">
      <alignment/>
    </xf>
    <xf numFmtId="0" fontId="7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5" fillId="0" borderId="9" xfId="0" applyFont="1" applyBorder="1" applyAlignment="1">
      <alignment horizontal="center"/>
    </xf>
    <xf numFmtId="43" fontId="5" fillId="0" borderId="9" xfId="17" applyFont="1" applyBorder="1" applyAlignment="1">
      <alignment horizontal="center"/>
    </xf>
    <xf numFmtId="43" fontId="5" fillId="0" borderId="0" xfId="17" applyFont="1" applyAlignment="1">
      <alignment horizontal="center"/>
    </xf>
    <xf numFmtId="43" fontId="5" fillId="0" borderId="3" xfId="17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3" fontId="7" fillId="0" borderId="1" xfId="17" applyFont="1" applyBorder="1" applyAlignment="1">
      <alignment/>
    </xf>
    <xf numFmtId="43" fontId="7" fillId="0" borderId="8" xfId="17" applyFont="1" applyBorder="1" applyAlignment="1">
      <alignment/>
    </xf>
    <xf numFmtId="0" fontId="11" fillId="0" borderId="0" xfId="0" applyFont="1" applyAlignment="1">
      <alignment/>
    </xf>
    <xf numFmtId="43" fontId="5" fillId="0" borderId="1" xfId="17" applyFont="1" applyBorder="1" applyAlignment="1">
      <alignment/>
    </xf>
    <xf numFmtId="0" fontId="5" fillId="0" borderId="0" xfId="0" applyFont="1" applyAlignment="1" quotePrefix="1">
      <alignment/>
    </xf>
    <xf numFmtId="43" fontId="5" fillId="0" borderId="3" xfId="17" applyFont="1" applyBorder="1" applyAlignment="1" quotePrefix="1">
      <alignment horizontal="center"/>
    </xf>
    <xf numFmtId="4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" xfId="0" applyBorder="1" applyAlignment="1">
      <alignment horizontal="right"/>
    </xf>
    <xf numFmtId="0" fontId="14" fillId="0" borderId="1" xfId="0" applyFont="1" applyBorder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8" xfId="0" applyFont="1" applyBorder="1" applyAlignment="1" quotePrefix="1">
      <alignment horizontal="center"/>
    </xf>
    <xf numFmtId="43" fontId="14" fillId="0" borderId="0" xfId="17" applyFont="1" applyAlignment="1">
      <alignment/>
    </xf>
    <xf numFmtId="43" fontId="14" fillId="0" borderId="8" xfId="17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 horizontal="center"/>
    </xf>
    <xf numFmtId="49" fontId="0" fillId="0" borderId="8" xfId="0" applyNumberFormat="1" applyBorder="1" applyAlignment="1" quotePrefix="1">
      <alignment horizontal="center"/>
    </xf>
    <xf numFmtId="0" fontId="14" fillId="0" borderId="9" xfId="0" applyFont="1" applyBorder="1" applyAlignment="1" quotePrefix="1">
      <alignment horizontal="center"/>
    </xf>
    <xf numFmtId="43" fontId="8" fillId="0" borderId="0" xfId="17" applyFont="1" applyAlignment="1">
      <alignment horizontal="center"/>
    </xf>
    <xf numFmtId="43" fontId="5" fillId="0" borderId="8" xfId="17" applyFont="1" applyBorder="1" applyAlignment="1">
      <alignment/>
    </xf>
    <xf numFmtId="14" fontId="0" fillId="0" borderId="0" xfId="17" applyNumberFormat="1" applyAlignment="1">
      <alignment horizontal="left"/>
    </xf>
    <xf numFmtId="15" fontId="0" fillId="0" borderId="0" xfId="17" applyNumberFormat="1" applyFont="1" applyAlignment="1" quotePrefix="1">
      <alignment horizontal="left"/>
    </xf>
    <xf numFmtId="43" fontId="0" fillId="0" borderId="0" xfId="17" applyAlignment="1">
      <alignment/>
    </xf>
    <xf numFmtId="43" fontId="0" fillId="0" borderId="9" xfId="17" applyBorder="1" applyAlignment="1">
      <alignment/>
    </xf>
    <xf numFmtId="43" fontId="0" fillId="0" borderId="8" xfId="17" applyBorder="1" applyAlignment="1">
      <alignment/>
    </xf>
    <xf numFmtId="43" fontId="0" fillId="0" borderId="13" xfId="17" applyBorder="1" applyAlignment="1">
      <alignment/>
    </xf>
    <xf numFmtId="43" fontId="0" fillId="0" borderId="12" xfId="17" applyBorder="1" applyAlignment="1">
      <alignment/>
    </xf>
    <xf numFmtId="43" fontId="0" fillId="0" borderId="0" xfId="17" applyBorder="1" applyAlignment="1">
      <alignment/>
    </xf>
    <xf numFmtId="43" fontId="0" fillId="0" borderId="2" xfId="17" applyBorder="1" applyAlignment="1">
      <alignment/>
    </xf>
    <xf numFmtId="43" fontId="0" fillId="0" borderId="10" xfId="17" applyBorder="1" applyAlignment="1">
      <alignment/>
    </xf>
    <xf numFmtId="43" fontId="0" fillId="0" borderId="11" xfId="17" applyBorder="1" applyAlignment="1">
      <alignment/>
    </xf>
    <xf numFmtId="0" fontId="18" fillId="0" borderId="0" xfId="0" applyFont="1" applyBorder="1" applyAlignment="1">
      <alignment/>
    </xf>
    <xf numFmtId="43" fontId="15" fillId="0" borderId="0" xfId="17" applyFont="1" applyAlignment="1">
      <alignment/>
    </xf>
    <xf numFmtId="0" fontId="19" fillId="0" borderId="1" xfId="0" applyFont="1" applyBorder="1" applyAlignment="1">
      <alignment/>
    </xf>
    <xf numFmtId="43" fontId="19" fillId="0" borderId="0" xfId="17" applyFont="1" applyBorder="1" applyAlignment="1">
      <alignment/>
    </xf>
    <xf numFmtId="43" fontId="19" fillId="0" borderId="0" xfId="17" applyFont="1" applyBorder="1" applyAlignment="1">
      <alignment/>
    </xf>
    <xf numFmtId="0" fontId="19" fillId="0" borderId="2" xfId="0" applyFont="1" applyBorder="1" applyAlignment="1">
      <alignment/>
    </xf>
    <xf numFmtId="43" fontId="19" fillId="0" borderId="2" xfId="17" applyFont="1" applyBorder="1" applyAlignment="1">
      <alignment/>
    </xf>
    <xf numFmtId="43" fontId="19" fillId="0" borderId="0" xfId="17" applyFont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 horizontal="center"/>
    </xf>
    <xf numFmtId="43" fontId="7" fillId="0" borderId="12" xfId="17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2" xfId="0" applyFont="1" applyBorder="1" applyAlignment="1">
      <alignment horizontal="center"/>
    </xf>
    <xf numFmtId="43" fontId="18" fillId="0" borderId="12" xfId="17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4" xfId="0" applyFont="1" applyBorder="1" applyAlignment="1">
      <alignment horizontal="right"/>
    </xf>
    <xf numFmtId="0" fontId="18" fillId="0" borderId="7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8" xfId="0" applyFont="1" applyBorder="1" applyAlignment="1" quotePrefix="1">
      <alignment horizontal="center"/>
    </xf>
    <xf numFmtId="43" fontId="18" fillId="0" borderId="0" xfId="17" applyFont="1" applyBorder="1" applyAlignment="1">
      <alignment horizontal="center"/>
    </xf>
    <xf numFmtId="43" fontId="18" fillId="0" borderId="8" xfId="17" applyFont="1" applyBorder="1" applyAlignment="1">
      <alignment horizontal="center"/>
    </xf>
    <xf numFmtId="0" fontId="18" fillId="0" borderId="1" xfId="0" applyFont="1" applyBorder="1" applyAlignment="1">
      <alignment/>
    </xf>
    <xf numFmtId="0" fontId="18" fillId="0" borderId="2" xfId="0" applyFont="1" applyBorder="1" applyAlignment="1">
      <alignment/>
    </xf>
    <xf numFmtId="43" fontId="18" fillId="0" borderId="0" xfId="17" applyFont="1" applyAlignment="1">
      <alignment/>
    </xf>
    <xf numFmtId="43" fontId="18" fillId="0" borderId="8" xfId="17" applyFont="1" applyBorder="1" applyAlignment="1">
      <alignment/>
    </xf>
    <xf numFmtId="0" fontId="18" fillId="0" borderId="8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21" fillId="0" borderId="6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3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43" fontId="21" fillId="0" borderId="0" xfId="17" applyFont="1" applyAlignment="1">
      <alignment/>
    </xf>
    <xf numFmtId="0" fontId="21" fillId="0" borderId="10" xfId="0" applyFont="1" applyBorder="1" applyAlignment="1">
      <alignment horizontal="center"/>
    </xf>
    <xf numFmtId="43" fontId="21" fillId="0" borderId="10" xfId="17" applyFont="1" applyBorder="1" applyAlignment="1">
      <alignment/>
    </xf>
    <xf numFmtId="0" fontId="22" fillId="0" borderId="7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8" xfId="0" applyFont="1" applyBorder="1" applyAlignment="1">
      <alignment/>
    </xf>
    <xf numFmtId="43" fontId="21" fillId="0" borderId="0" xfId="17" applyFont="1" applyBorder="1" applyAlignment="1">
      <alignment/>
    </xf>
    <xf numFmtId="43" fontId="21" fillId="0" borderId="2" xfId="17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3" xfId="0" applyFont="1" applyBorder="1" applyAlignment="1">
      <alignment/>
    </xf>
    <xf numFmtId="43" fontId="21" fillId="0" borderId="11" xfId="17" applyFont="1" applyBorder="1" applyAlignment="1">
      <alignment/>
    </xf>
    <xf numFmtId="43" fontId="8" fillId="0" borderId="0" xfId="17" applyFont="1" applyBorder="1" applyAlignment="1">
      <alignment/>
    </xf>
    <xf numFmtId="0" fontId="8" fillId="0" borderId="4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43" fontId="8" fillId="0" borderId="9" xfId="17" applyFont="1" applyBorder="1" applyAlignment="1">
      <alignment/>
    </xf>
    <xf numFmtId="0" fontId="10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1" xfId="0" applyFont="1" applyBorder="1" applyAlignment="1" quotePrefix="1">
      <alignment/>
    </xf>
    <xf numFmtId="0" fontId="8" fillId="0" borderId="2" xfId="0" applyFont="1" applyBorder="1" applyAlignment="1">
      <alignment/>
    </xf>
    <xf numFmtId="0" fontId="8" fillId="0" borderId="0" xfId="0" applyFont="1" applyAlignment="1" quotePrefix="1">
      <alignment horizontal="center"/>
    </xf>
    <xf numFmtId="43" fontId="8" fillId="0" borderId="8" xfId="17" applyFont="1" applyBorder="1" applyAlignment="1" quotePrefix="1">
      <alignment horizontal="center"/>
    </xf>
    <xf numFmtId="0" fontId="8" fillId="0" borderId="1" xfId="0" applyFont="1" applyBorder="1" applyAlignment="1">
      <alignment/>
    </xf>
    <xf numFmtId="43" fontId="8" fillId="0" borderId="1" xfId="0" applyNumberFormat="1" applyFont="1" applyBorder="1" applyAlignment="1">
      <alignment/>
    </xf>
    <xf numFmtId="43" fontId="8" fillId="0" borderId="2" xfId="0" applyNumberFormat="1" applyFont="1" applyBorder="1" applyAlignment="1">
      <alignment/>
    </xf>
    <xf numFmtId="0" fontId="10" fillId="0" borderId="2" xfId="0" applyFont="1" applyBorder="1" applyAlignment="1">
      <alignment/>
    </xf>
    <xf numFmtId="43" fontId="10" fillId="0" borderId="1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3" fontId="0" fillId="0" borderId="0" xfId="17" applyFont="1" applyBorder="1" applyAlignment="1">
      <alignment/>
    </xf>
    <xf numFmtId="43" fontId="0" fillId="0" borderId="0" xfId="17" applyFont="1" applyBorder="1" applyAlignment="1">
      <alignment horizontal="center"/>
    </xf>
    <xf numFmtId="0" fontId="0" fillId="0" borderId="2" xfId="0" applyFont="1" applyBorder="1" applyAlignment="1">
      <alignment/>
    </xf>
    <xf numFmtId="43" fontId="0" fillId="0" borderId="2" xfId="17" applyFont="1" applyBorder="1" applyAlignment="1">
      <alignment/>
    </xf>
    <xf numFmtId="43" fontId="0" fillId="0" borderId="0" xfId="17" applyFont="1" applyAlignment="1">
      <alignment/>
    </xf>
    <xf numFmtId="0" fontId="0" fillId="0" borderId="0" xfId="0" applyFont="1" applyAlignment="1">
      <alignment/>
    </xf>
    <xf numFmtId="43" fontId="0" fillId="0" borderId="0" xfId="17" applyFont="1" applyBorder="1" applyAlignment="1">
      <alignment/>
    </xf>
    <xf numFmtId="0" fontId="4" fillId="0" borderId="1" xfId="0" applyFont="1" applyBorder="1" applyAlignment="1">
      <alignment horizontal="center"/>
    </xf>
    <xf numFmtId="43" fontId="4" fillId="0" borderId="0" xfId="17" applyFont="1" applyBorder="1" applyAlignment="1">
      <alignment horizontal="center"/>
    </xf>
    <xf numFmtId="43" fontId="4" fillId="0" borderId="0" xfId="17" applyFont="1" applyBorder="1" applyAlignment="1">
      <alignment/>
    </xf>
    <xf numFmtId="0" fontId="4" fillId="0" borderId="2" xfId="0" applyFont="1" applyBorder="1" applyAlignment="1">
      <alignment horizontal="center"/>
    </xf>
    <xf numFmtId="43" fontId="4" fillId="0" borderId="2" xfId="17" applyFont="1" applyBorder="1" applyAlignment="1">
      <alignment horizontal="center"/>
    </xf>
    <xf numFmtId="43" fontId="0" fillId="0" borderId="0" xfId="17" applyFont="1" applyAlignment="1">
      <alignment horizontal="center"/>
    </xf>
    <xf numFmtId="43" fontId="4" fillId="0" borderId="0" xfId="17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43" fontId="0" fillId="0" borderId="0" xfId="17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3" fontId="0" fillId="0" borderId="2" xfId="17" applyFont="1" applyBorder="1" applyAlignment="1">
      <alignment/>
    </xf>
    <xf numFmtId="43" fontId="0" fillId="0" borderId="0" xfId="17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3" fontId="0" fillId="0" borderId="2" xfId="17" applyFont="1" applyBorder="1" applyAlignment="1">
      <alignment horizontal="center"/>
    </xf>
    <xf numFmtId="43" fontId="0" fillId="0" borderId="0" xfId="17" applyFont="1" applyAlignment="1">
      <alignment horizontal="center"/>
    </xf>
    <xf numFmtId="0" fontId="0" fillId="0" borderId="0" xfId="0" applyFont="1" applyAlignment="1">
      <alignment horizontal="center"/>
    </xf>
    <xf numFmtId="15" fontId="0" fillId="0" borderId="0" xfId="17" applyNumberFormat="1" applyFont="1" applyBorder="1" applyAlignment="1">
      <alignment horizontal="center"/>
    </xf>
    <xf numFmtId="216" fontId="0" fillId="0" borderId="0" xfId="17" applyNumberFormat="1" applyFont="1" applyBorder="1" applyAlignment="1" quotePrefix="1">
      <alignment horizontal="center"/>
    </xf>
    <xf numFmtId="15" fontId="0" fillId="0" borderId="0" xfId="17" applyNumberFormat="1" applyFont="1" applyBorder="1" applyAlignment="1" quotePrefix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3" fontId="10" fillId="0" borderId="15" xfId="17" applyFont="1" applyBorder="1" applyAlignment="1">
      <alignment/>
    </xf>
    <xf numFmtId="43" fontId="26" fillId="0" borderId="13" xfId="17" applyFont="1" applyBorder="1" applyAlignment="1">
      <alignment/>
    </xf>
    <xf numFmtId="43" fontId="26" fillId="0" borderId="12" xfId="17" applyFont="1" applyBorder="1" applyAlignment="1">
      <alignment/>
    </xf>
    <xf numFmtId="43" fontId="26" fillId="0" borderId="13" xfId="17" applyFont="1" applyBorder="1" applyAlignment="1">
      <alignment/>
    </xf>
    <xf numFmtId="43" fontId="26" fillId="0" borderId="12" xfId="17" applyFont="1" applyBorder="1" applyAlignment="1">
      <alignment/>
    </xf>
    <xf numFmtId="43" fontId="1" fillId="0" borderId="15" xfId="17" applyFont="1" applyBorder="1" applyAlignment="1">
      <alignment/>
    </xf>
    <xf numFmtId="0" fontId="1" fillId="0" borderId="0" xfId="0" applyFont="1" applyAlignment="1">
      <alignment/>
    </xf>
    <xf numFmtId="43" fontId="7" fillId="0" borderId="8" xfId="17" applyFont="1" applyBorder="1" applyAlignment="1">
      <alignment/>
    </xf>
    <xf numFmtId="43" fontId="7" fillId="0" borderId="9" xfId="17" applyFont="1" applyBorder="1" applyAlignment="1">
      <alignment/>
    </xf>
    <xf numFmtId="43" fontId="7" fillId="0" borderId="15" xfId="17" applyFont="1" applyBorder="1" applyAlignment="1">
      <alignment/>
    </xf>
    <xf numFmtId="43" fontId="1" fillId="0" borderId="0" xfId="17" applyFont="1" applyAlignment="1">
      <alignment/>
    </xf>
    <xf numFmtId="43" fontId="8" fillId="0" borderId="0" xfId="17" applyFont="1" applyAlignment="1" quotePrefix="1">
      <alignment horizontal="right"/>
    </xf>
    <xf numFmtId="43" fontId="10" fillId="0" borderId="12" xfId="17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Alignment="1">
      <alignment horizontal="center"/>
    </xf>
    <xf numFmtId="43" fontId="10" fillId="0" borderId="0" xfId="17" applyFont="1" applyAlignment="1">
      <alignment/>
    </xf>
    <xf numFmtId="0" fontId="10" fillId="0" borderId="0" xfId="0" applyFont="1" applyAlignment="1">
      <alignment/>
    </xf>
    <xf numFmtId="43" fontId="27" fillId="0" borderId="0" xfId="17" applyFont="1" applyAlignment="1">
      <alignment/>
    </xf>
    <xf numFmtId="43" fontId="27" fillId="0" borderId="12" xfId="17" applyFont="1" applyBorder="1" applyAlignment="1">
      <alignment/>
    </xf>
    <xf numFmtId="43" fontId="28" fillId="0" borderId="12" xfId="17" applyFont="1" applyBorder="1" applyAlignment="1">
      <alignment/>
    </xf>
    <xf numFmtId="43" fontId="29" fillId="0" borderId="15" xfId="17" applyFont="1" applyBorder="1" applyAlignment="1">
      <alignment/>
    </xf>
    <xf numFmtId="43" fontId="27" fillId="0" borderId="15" xfId="17" applyFont="1" applyBorder="1" applyAlignment="1">
      <alignment/>
    </xf>
    <xf numFmtId="43" fontId="1" fillId="0" borderId="2" xfId="17" applyFont="1" applyBorder="1" applyAlignment="1">
      <alignment/>
    </xf>
    <xf numFmtId="43" fontId="1" fillId="0" borderId="10" xfId="17" applyFont="1" applyBorder="1" applyAlignment="1">
      <alignment horizontal="left"/>
    </xf>
    <xf numFmtId="43" fontId="1" fillId="0" borderId="10" xfId="17" applyFont="1" applyBorder="1" applyAlignment="1">
      <alignment/>
    </xf>
    <xf numFmtId="0" fontId="1" fillId="0" borderId="11" xfId="0" applyFont="1" applyBorder="1" applyAlignment="1">
      <alignment/>
    </xf>
    <xf numFmtId="43" fontId="1" fillId="0" borderId="10" xfId="17" applyFont="1" applyBorder="1" applyAlignment="1">
      <alignment/>
    </xf>
    <xf numFmtId="0" fontId="1" fillId="0" borderId="10" xfId="0" applyFont="1" applyBorder="1" applyAlignment="1">
      <alignment/>
    </xf>
    <xf numFmtId="43" fontId="1" fillId="0" borderId="0" xfId="17" applyFont="1" applyBorder="1" applyAlignment="1">
      <alignment/>
    </xf>
    <xf numFmtId="43" fontId="1" fillId="0" borderId="0" xfId="17" applyFont="1" applyBorder="1" applyAlignment="1">
      <alignment horizontal="center"/>
    </xf>
    <xf numFmtId="0" fontId="1" fillId="0" borderId="2" xfId="0" applyFont="1" applyBorder="1" applyAlignment="1">
      <alignment/>
    </xf>
    <xf numFmtId="43" fontId="20" fillId="0" borderId="0" xfId="17" applyFont="1" applyAlignment="1" quotePrefix="1">
      <alignment horizontal="left"/>
    </xf>
    <xf numFmtId="43" fontId="1" fillId="0" borderId="0" xfId="17" applyFont="1" applyAlignment="1" quotePrefix="1">
      <alignment horizontal="left"/>
    </xf>
    <xf numFmtId="43" fontId="7" fillId="0" borderId="0" xfId="17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0" xfId="0" applyFont="1" applyAlignment="1" quotePrefix="1">
      <alignment horizontal="left"/>
    </xf>
    <xf numFmtId="43" fontId="8" fillId="0" borderId="8" xfId="17" applyFont="1" applyBorder="1" applyAlignment="1" quotePrefix="1">
      <alignment horizontal="right"/>
    </xf>
    <xf numFmtId="1" fontId="0" fillId="0" borderId="0" xfId="17" applyNumberFormat="1" applyFont="1" applyBorder="1" applyAlignment="1" quotePrefix="1">
      <alignment horizontal="center"/>
    </xf>
    <xf numFmtId="0" fontId="1" fillId="0" borderId="1" xfId="0" applyFont="1" applyBorder="1" applyAlignment="1" quotePrefix="1">
      <alignment horizontal="left"/>
    </xf>
    <xf numFmtId="0" fontId="1" fillId="0" borderId="6" xfId="0" applyFont="1" applyBorder="1" applyAlignment="1" quotePrefix="1">
      <alignment horizontal="left"/>
    </xf>
    <xf numFmtId="0" fontId="0" fillId="0" borderId="2" xfId="0" applyFont="1" applyBorder="1" applyAlignment="1" quotePrefix="1">
      <alignment horizontal="left"/>
    </xf>
    <xf numFmtId="0" fontId="0" fillId="0" borderId="0" xfId="0" applyAlignment="1" quotePrefix="1">
      <alignment horizontal="left"/>
    </xf>
    <xf numFmtId="43" fontId="7" fillId="0" borderId="13" xfId="17" applyFont="1" applyBorder="1" applyAlignment="1">
      <alignment/>
    </xf>
    <xf numFmtId="43" fontId="30" fillId="0" borderId="2" xfId="17" applyFont="1" applyBorder="1" applyAlignment="1">
      <alignment/>
    </xf>
    <xf numFmtId="43" fontId="0" fillId="0" borderId="0" xfId="17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8" xfId="0" applyFont="1" applyBorder="1" applyAlignment="1">
      <alignment horizontal="center"/>
    </xf>
    <xf numFmtId="43" fontId="7" fillId="0" borderId="0" xfId="17" applyFont="1" applyAlignment="1">
      <alignment/>
    </xf>
    <xf numFmtId="43" fontId="7" fillId="0" borderId="1" xfId="17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43" fontId="1" fillId="0" borderId="13" xfId="17" applyFont="1" applyBorder="1" applyAlignment="1">
      <alignment/>
    </xf>
    <xf numFmtId="43" fontId="1" fillId="0" borderId="12" xfId="17" applyFont="1" applyBorder="1" applyAlignment="1">
      <alignment/>
    </xf>
    <xf numFmtId="0" fontId="5" fillId="0" borderId="0" xfId="0" applyFont="1" applyBorder="1" applyAlignment="1">
      <alignment horizontal="left"/>
    </xf>
    <xf numFmtId="0" fontId="18" fillId="0" borderId="0" xfId="0" applyFont="1" applyBorder="1" applyAlignment="1" quotePrefix="1">
      <alignment horizontal="left"/>
    </xf>
    <xf numFmtId="0" fontId="0" fillId="0" borderId="1" xfId="0" applyFont="1" applyBorder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9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43" fontId="15" fillId="0" borderId="0" xfId="17" applyFont="1" applyBorder="1" applyAlignment="1">
      <alignment/>
    </xf>
    <xf numFmtId="43" fontId="15" fillId="0" borderId="2" xfId="17" applyFont="1" applyBorder="1" applyAlignment="1">
      <alignment/>
    </xf>
    <xf numFmtId="43" fontId="26" fillId="0" borderId="0" xfId="17" applyFont="1" applyBorder="1" applyAlignment="1">
      <alignment/>
    </xf>
    <xf numFmtId="0" fontId="25" fillId="0" borderId="0" xfId="0" applyFont="1" applyAlignment="1" quotePrefix="1">
      <alignment horizontal="left"/>
    </xf>
    <xf numFmtId="216" fontId="0" fillId="0" borderId="0" xfId="17" applyNumberFormat="1" applyFont="1" applyBorder="1" applyAlignment="1" quotePrefix="1">
      <alignment horizontal="left"/>
    </xf>
    <xf numFmtId="227" fontId="0" fillId="0" borderId="0" xfId="17" applyNumberFormat="1" applyFont="1" applyBorder="1" applyAlignment="1">
      <alignment horizontal="center"/>
    </xf>
    <xf numFmtId="0" fontId="25" fillId="0" borderId="0" xfId="0" applyFont="1" applyBorder="1" applyAlignment="1" quotePrefix="1">
      <alignment horizontal="left"/>
    </xf>
    <xf numFmtId="0" fontId="25" fillId="0" borderId="7" xfId="0" applyFont="1" applyBorder="1" applyAlignment="1">
      <alignment/>
    </xf>
    <xf numFmtId="0" fontId="25" fillId="0" borderId="5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" xfId="0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43" fontId="14" fillId="0" borderId="2" xfId="17" applyFont="1" applyBorder="1" applyAlignment="1">
      <alignment horizontal="right"/>
    </xf>
    <xf numFmtId="43" fontId="14" fillId="0" borderId="2" xfId="17" applyFont="1" applyBorder="1" applyAlignment="1">
      <alignment/>
    </xf>
    <xf numFmtId="43" fontId="14" fillId="0" borderId="11" xfId="17" applyFont="1" applyBorder="1" applyAlignment="1">
      <alignment/>
    </xf>
    <xf numFmtId="0" fontId="31" fillId="0" borderId="12" xfId="0" applyFont="1" applyBorder="1" applyAlignment="1">
      <alignment horizontal="center"/>
    </xf>
    <xf numFmtId="0" fontId="0" fillId="0" borderId="0" xfId="0" applyFill="1" applyAlignment="1">
      <alignment/>
    </xf>
    <xf numFmtId="43" fontId="26" fillId="0" borderId="16" xfId="17" applyFont="1" applyBorder="1" applyAlignment="1">
      <alignment/>
    </xf>
    <xf numFmtId="0" fontId="18" fillId="0" borderId="0" xfId="0" applyFont="1" applyBorder="1" applyAlignment="1">
      <alignment horizontal="left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3" fontId="0" fillId="0" borderId="12" xfId="17" applyBorder="1" applyAlignment="1">
      <alignment/>
    </xf>
    <xf numFmtId="0" fontId="23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43" fontId="14" fillId="0" borderId="0" xfId="17" applyFont="1" applyBorder="1" applyAlignment="1">
      <alignment/>
    </xf>
    <xf numFmtId="43" fontId="14" fillId="0" borderId="0" xfId="17" applyFont="1" applyFill="1" applyBorder="1" applyAlignment="1">
      <alignment/>
    </xf>
    <xf numFmtId="43" fontId="31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10" xfId="0" applyFont="1" applyBorder="1" applyAlignment="1">
      <alignment/>
    </xf>
    <xf numFmtId="0" fontId="31" fillId="0" borderId="12" xfId="0" applyFont="1" applyFill="1" applyBorder="1" applyAlignment="1">
      <alignment horizontal="center"/>
    </xf>
    <xf numFmtId="194" fontId="0" fillId="0" borderId="8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8" xfId="0" applyFont="1" applyBorder="1" applyAlignment="1">
      <alignment/>
    </xf>
    <xf numFmtId="43" fontId="1" fillId="0" borderId="8" xfId="0" applyNumberFormat="1" applyFont="1" applyBorder="1" applyAlignment="1">
      <alignment/>
    </xf>
    <xf numFmtId="43" fontId="1" fillId="0" borderId="18" xfId="17" applyFont="1" applyBorder="1" applyAlignment="1">
      <alignment/>
    </xf>
    <xf numFmtId="43" fontId="1" fillId="0" borderId="19" xfId="17" applyFont="1" applyBorder="1" applyAlignment="1">
      <alignment/>
    </xf>
    <xf numFmtId="194" fontId="0" fillId="0" borderId="12" xfId="0" applyNumberFormat="1" applyBorder="1" applyAlignment="1">
      <alignment/>
    </xf>
    <xf numFmtId="43" fontId="0" fillId="0" borderId="8" xfId="17" applyBorder="1" applyAlignment="1">
      <alignment horizontal="center"/>
    </xf>
    <xf numFmtId="43" fontId="0" fillId="0" borderId="12" xfId="17" applyBorder="1" applyAlignment="1">
      <alignment horizontal="center"/>
    </xf>
    <xf numFmtId="43" fontId="31" fillId="0" borderId="0" xfId="17" applyFont="1" applyBorder="1" applyAlignment="1">
      <alignment horizontal="center"/>
    </xf>
    <xf numFmtId="43" fontId="31" fillId="0" borderId="0" xfId="17" applyFont="1" applyBorder="1" applyAlignment="1" quotePrefix="1">
      <alignment horizontal="center"/>
    </xf>
    <xf numFmtId="43" fontId="0" fillId="0" borderId="8" xfId="17" applyFont="1" applyBorder="1" applyAlignment="1">
      <alignment horizontal="right"/>
    </xf>
    <xf numFmtId="43" fontId="0" fillId="0" borderId="0" xfId="17" applyFont="1" applyBorder="1" applyAlignment="1">
      <alignment horizontal="right"/>
    </xf>
    <xf numFmtId="43" fontId="0" fillId="0" borderId="8" xfId="17" applyFont="1" applyBorder="1" applyAlignment="1">
      <alignment/>
    </xf>
    <xf numFmtId="43" fontId="0" fillId="0" borderId="10" xfId="17" applyFont="1" applyBorder="1" applyAlignment="1">
      <alignment/>
    </xf>
    <xf numFmtId="43" fontId="0" fillId="0" borderId="3" xfId="17" applyFont="1" applyBorder="1" applyAlignment="1">
      <alignment/>
    </xf>
    <xf numFmtId="43" fontId="0" fillId="0" borderId="8" xfId="17" applyFont="1" applyBorder="1" applyAlignment="1">
      <alignment horizontal="center"/>
    </xf>
    <xf numFmtId="43" fontId="0" fillId="0" borderId="17" xfId="17" applyBorder="1" applyAlignment="1">
      <alignment/>
    </xf>
    <xf numFmtId="43" fontId="7" fillId="0" borderId="4" xfId="17" applyFont="1" applyBorder="1" applyAlignment="1">
      <alignment/>
    </xf>
    <xf numFmtId="43" fontId="7" fillId="0" borderId="0" xfId="17" applyFont="1" applyBorder="1" applyAlignment="1">
      <alignment/>
    </xf>
    <xf numFmtId="43" fontId="29" fillId="0" borderId="12" xfId="17" applyFont="1" applyBorder="1" applyAlignment="1">
      <alignment/>
    </xf>
    <xf numFmtId="194" fontId="5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194" fontId="10" fillId="0" borderId="0" xfId="0" applyNumberFormat="1" applyFont="1" applyAlignment="1">
      <alignment/>
    </xf>
    <xf numFmtId="204" fontId="0" fillId="0" borderId="0" xfId="17" applyNumberFormat="1" applyFont="1" applyBorder="1" applyAlignment="1" quotePrefix="1">
      <alignment horizontal="center"/>
    </xf>
    <xf numFmtId="0" fontId="2" fillId="0" borderId="0" xfId="0" applyFont="1" applyBorder="1" applyAlignment="1">
      <alignment/>
    </xf>
    <xf numFmtId="43" fontId="2" fillId="0" borderId="0" xfId="17" applyFont="1" applyBorder="1" applyAlignment="1">
      <alignment/>
    </xf>
    <xf numFmtId="43" fontId="2" fillId="0" borderId="0" xfId="17" applyFont="1" applyBorder="1" applyAlignment="1">
      <alignment/>
    </xf>
    <xf numFmtId="43" fontId="1" fillId="0" borderId="0" xfId="17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3" fontId="0" fillId="0" borderId="0" xfId="17" applyBorder="1" applyAlignment="1">
      <alignment horizontal="center"/>
    </xf>
    <xf numFmtId="0" fontId="4" fillId="0" borderId="0" xfId="0" applyFont="1" applyBorder="1" applyAlignment="1">
      <alignment/>
    </xf>
    <xf numFmtId="4" fontId="0" fillId="0" borderId="0" xfId="17" applyNumberFormat="1" applyFont="1" applyBorder="1" applyAlignment="1">
      <alignment/>
    </xf>
    <xf numFmtId="43" fontId="3" fillId="0" borderId="0" xfId="17" applyFont="1" applyBorder="1" applyAlignment="1">
      <alignment/>
    </xf>
    <xf numFmtId="206" fontId="0" fillId="0" borderId="0" xfId="17" applyNumberFormat="1" applyBorder="1" applyAlignment="1">
      <alignment/>
    </xf>
    <xf numFmtId="0" fontId="0" fillId="0" borderId="12" xfId="0" applyBorder="1" applyAlignment="1">
      <alignment/>
    </xf>
    <xf numFmtId="43" fontId="1" fillId="0" borderId="20" xfId="17" applyFont="1" applyBorder="1" applyAlignment="1">
      <alignment/>
    </xf>
    <xf numFmtId="43" fontId="1" fillId="0" borderId="16" xfId="17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3" fontId="14" fillId="0" borderId="0" xfId="17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0" fillId="0" borderId="3" xfId="17" applyBorder="1" applyAlignment="1">
      <alignment/>
    </xf>
    <xf numFmtId="43" fontId="0" fillId="0" borderId="14" xfId="17" applyBorder="1" applyAlignment="1">
      <alignment/>
    </xf>
    <xf numFmtId="43" fontId="15" fillId="0" borderId="3" xfId="17" applyFont="1" applyBorder="1" applyAlignment="1">
      <alignment/>
    </xf>
    <xf numFmtId="43" fontId="15" fillId="0" borderId="10" xfId="17" applyFont="1" applyBorder="1" applyAlignment="1">
      <alignment/>
    </xf>
    <xf numFmtId="43" fontId="6" fillId="0" borderId="20" xfId="17" applyFont="1" applyBorder="1" applyAlignment="1">
      <alignment/>
    </xf>
    <xf numFmtId="43" fontId="6" fillId="0" borderId="15" xfId="17" applyFont="1" applyBorder="1" applyAlignment="1">
      <alignment/>
    </xf>
    <xf numFmtId="43" fontId="6" fillId="0" borderId="16" xfId="17" applyFont="1" applyBorder="1" applyAlignment="1">
      <alignment/>
    </xf>
    <xf numFmtId="194" fontId="8" fillId="0" borderId="0" xfId="0" applyNumberFormat="1" applyFont="1" applyAlignment="1">
      <alignment/>
    </xf>
    <xf numFmtId="43" fontId="15" fillId="0" borderId="0" xfId="0" applyNumberFormat="1" applyFont="1" applyAlignment="1">
      <alignment/>
    </xf>
    <xf numFmtId="194" fontId="0" fillId="0" borderId="0" xfId="0" applyNumberFormat="1" applyBorder="1" applyAlignment="1">
      <alignment/>
    </xf>
    <xf numFmtId="43" fontId="14" fillId="0" borderId="0" xfId="17" applyFont="1" applyBorder="1" applyAlignment="1" quotePrefix="1">
      <alignment horizontal="center"/>
    </xf>
    <xf numFmtId="0" fontId="15" fillId="0" borderId="3" xfId="0" applyFont="1" applyBorder="1" applyAlignment="1">
      <alignment/>
    </xf>
    <xf numFmtId="43" fontId="15" fillId="0" borderId="11" xfId="0" applyNumberFormat="1" applyFont="1" applyBorder="1" applyAlignment="1">
      <alignment/>
    </xf>
    <xf numFmtId="0" fontId="15" fillId="0" borderId="12" xfId="0" applyFont="1" applyBorder="1" applyAlignment="1">
      <alignment/>
    </xf>
    <xf numFmtId="43" fontId="15" fillId="0" borderId="14" xfId="17" applyFont="1" applyBorder="1" applyAlignment="1">
      <alignment/>
    </xf>
    <xf numFmtId="43" fontId="15" fillId="0" borderId="12" xfId="17" applyFont="1" applyBorder="1" applyAlignment="1">
      <alignment/>
    </xf>
    <xf numFmtId="43" fontId="15" fillId="0" borderId="17" xfId="0" applyNumberFormat="1" applyFont="1" applyBorder="1" applyAlignment="1">
      <alignment/>
    </xf>
    <xf numFmtId="43" fontId="15" fillId="0" borderId="17" xfId="17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0" xfId="0" applyFont="1" applyBorder="1" applyAlignment="1">
      <alignment/>
    </xf>
    <xf numFmtId="43" fontId="6" fillId="0" borderId="20" xfId="17" applyFont="1" applyBorder="1" applyAlignment="1">
      <alignment/>
    </xf>
    <xf numFmtId="43" fontId="6" fillId="0" borderId="15" xfId="17" applyFont="1" applyBorder="1" applyAlignment="1">
      <alignment/>
    </xf>
    <xf numFmtId="43" fontId="6" fillId="0" borderId="16" xfId="17" applyFont="1" applyBorder="1" applyAlignment="1">
      <alignment/>
    </xf>
    <xf numFmtId="43" fontId="36" fillId="0" borderId="0" xfId="17" applyFont="1" applyAlignment="1">
      <alignment/>
    </xf>
    <xf numFmtId="0" fontId="36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20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6" xfId="0" applyNumberFormat="1" applyFont="1" applyBorder="1" applyAlignment="1">
      <alignment/>
    </xf>
    <xf numFmtId="43" fontId="8" fillId="0" borderId="0" xfId="17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3" fontId="5" fillId="0" borderId="0" xfId="0" applyNumberFormat="1" applyFont="1" applyAlignment="1">
      <alignment/>
    </xf>
    <xf numFmtId="43" fontId="0" fillId="0" borderId="13" xfId="17" applyBorder="1" applyAlignment="1">
      <alignment/>
    </xf>
    <xf numFmtId="14" fontId="2" fillId="0" borderId="0" xfId="0" applyNumberFormat="1" applyFont="1" applyAlignment="1">
      <alignment/>
    </xf>
    <xf numFmtId="14" fontId="0" fillId="0" borderId="0" xfId="0" applyNumberFormat="1" applyAlignment="1">
      <alignment/>
    </xf>
    <xf numFmtId="230" fontId="0" fillId="0" borderId="0" xfId="17" applyNumberFormat="1" applyFont="1" applyBorder="1" applyAlignment="1">
      <alignment horizontal="center"/>
    </xf>
    <xf numFmtId="43" fontId="1" fillId="0" borderId="16" xfId="17" applyFont="1" applyBorder="1" applyAlignment="1">
      <alignment horizontal="center"/>
    </xf>
    <xf numFmtId="43" fontId="0" fillId="0" borderId="14" xfId="17" applyFont="1" applyBorder="1" applyAlignment="1">
      <alignment/>
    </xf>
    <xf numFmtId="229" fontId="0" fillId="0" borderId="0" xfId="17" applyNumberFormat="1" applyFont="1" applyBorder="1" applyAlignment="1">
      <alignment horizontal="center"/>
    </xf>
    <xf numFmtId="43" fontId="1" fillId="2" borderId="15" xfId="17" applyFont="1" applyFill="1" applyBorder="1" applyAlignment="1">
      <alignment/>
    </xf>
    <xf numFmtId="43" fontId="1" fillId="2" borderId="19" xfId="17" applyFont="1" applyFill="1" applyBorder="1" applyAlignment="1">
      <alignment/>
    </xf>
    <xf numFmtId="0" fontId="37" fillId="0" borderId="6" xfId="0" applyFont="1" applyBorder="1" applyAlignment="1">
      <alignment/>
    </xf>
    <xf numFmtId="0" fontId="38" fillId="0" borderId="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3" fontId="5" fillId="0" borderId="0" xfId="17" applyFont="1" applyAlignment="1">
      <alignment horizontal="center"/>
    </xf>
    <xf numFmtId="43" fontId="8" fillId="0" borderId="0" xfId="17" applyFont="1" applyAlignment="1">
      <alignment horizontal="center"/>
    </xf>
    <xf numFmtId="43" fontId="8" fillId="0" borderId="0" xfId="17" applyFont="1" applyAlignment="1" quotePrefix="1">
      <alignment horizontal="center"/>
    </xf>
    <xf numFmtId="43" fontId="24" fillId="0" borderId="0" xfId="17" applyFont="1" applyAlignment="1">
      <alignment horizontal="center"/>
    </xf>
    <xf numFmtId="43" fontId="8" fillId="0" borderId="4" xfId="17" applyFont="1" applyBorder="1" applyAlignment="1">
      <alignment horizontal="center"/>
    </xf>
    <xf numFmtId="43" fontId="8" fillId="0" borderId="5" xfId="17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43" fontId="5" fillId="0" borderId="13" xfId="17" applyFont="1" applyBorder="1" applyAlignment="1">
      <alignment horizontal="center"/>
    </xf>
    <xf numFmtId="43" fontId="5" fillId="0" borderId="17" xfId="17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5" fillId="2" borderId="1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35" fillId="2" borderId="2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35" fillId="2" borderId="4" xfId="0" applyFont="1" applyFill="1" applyBorder="1" applyAlignment="1">
      <alignment horizontal="center"/>
    </xf>
    <xf numFmtId="0" fontId="35" fillId="2" borderId="7" xfId="0" applyFont="1" applyFill="1" applyBorder="1" applyAlignment="1">
      <alignment horizontal="center"/>
    </xf>
    <xf numFmtId="0" fontId="35" fillId="2" borderId="5" xfId="0" applyFont="1" applyFill="1" applyBorder="1" applyAlignment="1">
      <alignment horizontal="center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3" fontId="0" fillId="0" borderId="0" xfId="17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42</xdr:row>
      <xdr:rowOff>28575</xdr:rowOff>
    </xdr:from>
    <xdr:to>
      <xdr:col>0</xdr:col>
      <xdr:colOff>904875</xdr:colOff>
      <xdr:row>66</xdr:row>
      <xdr:rowOff>295275</xdr:rowOff>
    </xdr:to>
    <xdr:sp>
      <xdr:nvSpPr>
        <xdr:cNvPr id="1" name="Line 1"/>
        <xdr:cNvSpPr>
          <a:spLocks/>
        </xdr:cNvSpPr>
      </xdr:nvSpPr>
      <xdr:spPr>
        <a:xfrm>
          <a:off x="895350" y="12677775"/>
          <a:ext cx="9525" cy="6534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828675</xdr:colOff>
      <xdr:row>42</xdr:row>
      <xdr:rowOff>0</xdr:rowOff>
    </xdr:from>
    <xdr:to>
      <xdr:col>1</xdr:col>
      <xdr:colOff>838200</xdr:colOff>
      <xdr:row>70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971675" y="12649200"/>
          <a:ext cx="9525" cy="7477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981075</xdr:colOff>
      <xdr:row>41</xdr:row>
      <xdr:rowOff>200025</xdr:rowOff>
    </xdr:from>
    <xdr:to>
      <xdr:col>5</xdr:col>
      <xdr:colOff>990600</xdr:colOff>
      <xdr:row>69</xdr:row>
      <xdr:rowOff>257175</xdr:rowOff>
    </xdr:to>
    <xdr:sp>
      <xdr:nvSpPr>
        <xdr:cNvPr id="3" name="Line 3"/>
        <xdr:cNvSpPr>
          <a:spLocks/>
        </xdr:cNvSpPr>
      </xdr:nvSpPr>
      <xdr:spPr>
        <a:xfrm flipH="1" flipV="1">
          <a:off x="5848350" y="12639675"/>
          <a:ext cx="9525" cy="7400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895350</xdr:colOff>
      <xdr:row>82</xdr:row>
      <xdr:rowOff>28575</xdr:rowOff>
    </xdr:from>
    <xdr:to>
      <xdr:col>0</xdr:col>
      <xdr:colOff>904875</xdr:colOff>
      <xdr:row>105</xdr:row>
      <xdr:rowOff>295275</xdr:rowOff>
    </xdr:to>
    <xdr:sp>
      <xdr:nvSpPr>
        <xdr:cNvPr id="4" name="Line 4"/>
        <xdr:cNvSpPr>
          <a:spLocks/>
        </xdr:cNvSpPr>
      </xdr:nvSpPr>
      <xdr:spPr>
        <a:xfrm>
          <a:off x="895350" y="23507700"/>
          <a:ext cx="9525" cy="7305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828675</xdr:colOff>
      <xdr:row>82</xdr:row>
      <xdr:rowOff>0</xdr:rowOff>
    </xdr:from>
    <xdr:to>
      <xdr:col>1</xdr:col>
      <xdr:colOff>838200</xdr:colOff>
      <xdr:row>109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1971675" y="23479125"/>
          <a:ext cx="9525" cy="831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981075</xdr:colOff>
      <xdr:row>81</xdr:row>
      <xdr:rowOff>200025</xdr:rowOff>
    </xdr:from>
    <xdr:to>
      <xdr:col>5</xdr:col>
      <xdr:colOff>990600</xdr:colOff>
      <xdr:row>108</xdr:row>
      <xdr:rowOff>257175</xdr:rowOff>
    </xdr:to>
    <xdr:sp>
      <xdr:nvSpPr>
        <xdr:cNvPr id="6" name="Line 6"/>
        <xdr:cNvSpPr>
          <a:spLocks/>
        </xdr:cNvSpPr>
      </xdr:nvSpPr>
      <xdr:spPr>
        <a:xfrm flipH="1" flipV="1">
          <a:off x="5848350" y="23374350"/>
          <a:ext cx="9525" cy="833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895350</xdr:colOff>
      <xdr:row>4</xdr:row>
      <xdr:rowOff>28575</xdr:rowOff>
    </xdr:from>
    <xdr:to>
      <xdr:col>0</xdr:col>
      <xdr:colOff>904875</xdr:colOff>
      <xdr:row>28</xdr:row>
      <xdr:rowOff>295275</xdr:rowOff>
    </xdr:to>
    <xdr:sp>
      <xdr:nvSpPr>
        <xdr:cNvPr id="7" name="Line 11"/>
        <xdr:cNvSpPr>
          <a:spLocks/>
        </xdr:cNvSpPr>
      </xdr:nvSpPr>
      <xdr:spPr>
        <a:xfrm>
          <a:off x="895350" y="1219200"/>
          <a:ext cx="9525" cy="761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828675</xdr:colOff>
      <xdr:row>4</xdr:row>
      <xdr:rowOff>0</xdr:rowOff>
    </xdr:from>
    <xdr:to>
      <xdr:col>1</xdr:col>
      <xdr:colOff>838200</xdr:colOff>
      <xdr:row>32</xdr:row>
      <xdr:rowOff>0</xdr:rowOff>
    </xdr:to>
    <xdr:sp>
      <xdr:nvSpPr>
        <xdr:cNvPr id="8" name="Line 12"/>
        <xdr:cNvSpPr>
          <a:spLocks/>
        </xdr:cNvSpPr>
      </xdr:nvSpPr>
      <xdr:spPr>
        <a:xfrm flipV="1">
          <a:off x="1971675" y="1190625"/>
          <a:ext cx="9525" cy="861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981075</xdr:colOff>
      <xdr:row>3</xdr:row>
      <xdr:rowOff>200025</xdr:rowOff>
    </xdr:from>
    <xdr:to>
      <xdr:col>5</xdr:col>
      <xdr:colOff>990600</xdr:colOff>
      <xdr:row>31</xdr:row>
      <xdr:rowOff>257175</xdr:rowOff>
    </xdr:to>
    <xdr:sp>
      <xdr:nvSpPr>
        <xdr:cNvPr id="9" name="Line 13"/>
        <xdr:cNvSpPr>
          <a:spLocks/>
        </xdr:cNvSpPr>
      </xdr:nvSpPr>
      <xdr:spPr>
        <a:xfrm flipH="1" flipV="1">
          <a:off x="5848350" y="1085850"/>
          <a:ext cx="9525" cy="863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246</xdr:row>
      <xdr:rowOff>19050</xdr:rowOff>
    </xdr:from>
    <xdr:to>
      <xdr:col>1</xdr:col>
      <xdr:colOff>771525</xdr:colOff>
      <xdr:row>262</xdr:row>
      <xdr:rowOff>266700</xdr:rowOff>
    </xdr:to>
    <xdr:sp>
      <xdr:nvSpPr>
        <xdr:cNvPr id="1" name="Line 1"/>
        <xdr:cNvSpPr>
          <a:spLocks/>
        </xdr:cNvSpPr>
      </xdr:nvSpPr>
      <xdr:spPr>
        <a:xfrm flipV="1">
          <a:off x="1752600" y="69875400"/>
          <a:ext cx="0" cy="466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771525</xdr:colOff>
      <xdr:row>246</xdr:row>
      <xdr:rowOff>0</xdr:rowOff>
    </xdr:from>
    <xdr:to>
      <xdr:col>0</xdr:col>
      <xdr:colOff>771525</xdr:colOff>
      <xdr:row>263</xdr:row>
      <xdr:rowOff>0</xdr:rowOff>
    </xdr:to>
    <xdr:sp>
      <xdr:nvSpPr>
        <xdr:cNvPr id="2" name="Line 2"/>
        <xdr:cNvSpPr>
          <a:spLocks/>
        </xdr:cNvSpPr>
      </xdr:nvSpPr>
      <xdr:spPr>
        <a:xfrm>
          <a:off x="771525" y="69856350"/>
          <a:ext cx="0" cy="471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246</xdr:row>
      <xdr:rowOff>0</xdr:rowOff>
    </xdr:from>
    <xdr:to>
      <xdr:col>5</xdr:col>
      <xdr:colOff>1038225</xdr:colOff>
      <xdr:row>263</xdr:row>
      <xdr:rowOff>0</xdr:rowOff>
    </xdr:to>
    <xdr:sp>
      <xdr:nvSpPr>
        <xdr:cNvPr id="3" name="Line 3"/>
        <xdr:cNvSpPr>
          <a:spLocks/>
        </xdr:cNvSpPr>
      </xdr:nvSpPr>
      <xdr:spPr>
        <a:xfrm>
          <a:off x="6029325" y="69856350"/>
          <a:ext cx="0" cy="471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771525</xdr:colOff>
      <xdr:row>280</xdr:row>
      <xdr:rowOff>19050</xdr:rowOff>
    </xdr:from>
    <xdr:to>
      <xdr:col>1</xdr:col>
      <xdr:colOff>771525</xdr:colOff>
      <xdr:row>296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1752600" y="79409925"/>
          <a:ext cx="0" cy="468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771525</xdr:colOff>
      <xdr:row>280</xdr:row>
      <xdr:rowOff>0</xdr:rowOff>
    </xdr:from>
    <xdr:to>
      <xdr:col>0</xdr:col>
      <xdr:colOff>771525</xdr:colOff>
      <xdr:row>297</xdr:row>
      <xdr:rowOff>0</xdr:rowOff>
    </xdr:to>
    <xdr:sp>
      <xdr:nvSpPr>
        <xdr:cNvPr id="5" name="Line 5"/>
        <xdr:cNvSpPr>
          <a:spLocks/>
        </xdr:cNvSpPr>
      </xdr:nvSpPr>
      <xdr:spPr>
        <a:xfrm>
          <a:off x="771525" y="79390875"/>
          <a:ext cx="0" cy="473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280</xdr:row>
      <xdr:rowOff>0</xdr:rowOff>
    </xdr:from>
    <xdr:to>
      <xdr:col>5</xdr:col>
      <xdr:colOff>1038225</xdr:colOff>
      <xdr:row>297</xdr:row>
      <xdr:rowOff>0</xdr:rowOff>
    </xdr:to>
    <xdr:sp>
      <xdr:nvSpPr>
        <xdr:cNvPr id="6" name="Line 6"/>
        <xdr:cNvSpPr>
          <a:spLocks/>
        </xdr:cNvSpPr>
      </xdr:nvSpPr>
      <xdr:spPr>
        <a:xfrm>
          <a:off x="6029325" y="79390875"/>
          <a:ext cx="0" cy="473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771525</xdr:colOff>
      <xdr:row>212</xdr:row>
      <xdr:rowOff>19050</xdr:rowOff>
    </xdr:from>
    <xdr:to>
      <xdr:col>1</xdr:col>
      <xdr:colOff>771525</xdr:colOff>
      <xdr:row>229</xdr:row>
      <xdr:rowOff>266700</xdr:rowOff>
    </xdr:to>
    <xdr:sp>
      <xdr:nvSpPr>
        <xdr:cNvPr id="7" name="Line 7"/>
        <xdr:cNvSpPr>
          <a:spLocks/>
        </xdr:cNvSpPr>
      </xdr:nvSpPr>
      <xdr:spPr>
        <a:xfrm flipV="1">
          <a:off x="1752600" y="59664600"/>
          <a:ext cx="0" cy="564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771525</xdr:colOff>
      <xdr:row>212</xdr:row>
      <xdr:rowOff>0</xdr:rowOff>
    </xdr:from>
    <xdr:to>
      <xdr:col>0</xdr:col>
      <xdr:colOff>771525</xdr:colOff>
      <xdr:row>230</xdr:row>
      <xdr:rowOff>0</xdr:rowOff>
    </xdr:to>
    <xdr:sp>
      <xdr:nvSpPr>
        <xdr:cNvPr id="8" name="Line 8"/>
        <xdr:cNvSpPr>
          <a:spLocks/>
        </xdr:cNvSpPr>
      </xdr:nvSpPr>
      <xdr:spPr>
        <a:xfrm>
          <a:off x="771525" y="59645550"/>
          <a:ext cx="0" cy="569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212</xdr:row>
      <xdr:rowOff>0</xdr:rowOff>
    </xdr:from>
    <xdr:to>
      <xdr:col>5</xdr:col>
      <xdr:colOff>1038225</xdr:colOff>
      <xdr:row>230</xdr:row>
      <xdr:rowOff>0</xdr:rowOff>
    </xdr:to>
    <xdr:sp>
      <xdr:nvSpPr>
        <xdr:cNvPr id="9" name="Line 9"/>
        <xdr:cNvSpPr>
          <a:spLocks/>
        </xdr:cNvSpPr>
      </xdr:nvSpPr>
      <xdr:spPr>
        <a:xfrm>
          <a:off x="6029325" y="59645550"/>
          <a:ext cx="0" cy="569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771525</xdr:colOff>
      <xdr:row>178</xdr:row>
      <xdr:rowOff>19050</xdr:rowOff>
    </xdr:from>
    <xdr:to>
      <xdr:col>1</xdr:col>
      <xdr:colOff>771525</xdr:colOff>
      <xdr:row>195</xdr:row>
      <xdr:rowOff>266700</xdr:rowOff>
    </xdr:to>
    <xdr:sp>
      <xdr:nvSpPr>
        <xdr:cNvPr id="10" name="Line 10"/>
        <xdr:cNvSpPr>
          <a:spLocks/>
        </xdr:cNvSpPr>
      </xdr:nvSpPr>
      <xdr:spPr>
        <a:xfrm flipV="1">
          <a:off x="1752600" y="50111025"/>
          <a:ext cx="0" cy="496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771525</xdr:colOff>
      <xdr:row>178</xdr:row>
      <xdr:rowOff>0</xdr:rowOff>
    </xdr:from>
    <xdr:to>
      <xdr:col>0</xdr:col>
      <xdr:colOff>771525</xdr:colOff>
      <xdr:row>196</xdr:row>
      <xdr:rowOff>0</xdr:rowOff>
    </xdr:to>
    <xdr:sp>
      <xdr:nvSpPr>
        <xdr:cNvPr id="11" name="Line 11"/>
        <xdr:cNvSpPr>
          <a:spLocks/>
        </xdr:cNvSpPr>
      </xdr:nvSpPr>
      <xdr:spPr>
        <a:xfrm>
          <a:off x="771525" y="50091975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178</xdr:row>
      <xdr:rowOff>0</xdr:rowOff>
    </xdr:from>
    <xdr:to>
      <xdr:col>5</xdr:col>
      <xdr:colOff>1038225</xdr:colOff>
      <xdr:row>196</xdr:row>
      <xdr:rowOff>0</xdr:rowOff>
    </xdr:to>
    <xdr:sp>
      <xdr:nvSpPr>
        <xdr:cNvPr id="12" name="Line 12"/>
        <xdr:cNvSpPr>
          <a:spLocks/>
        </xdr:cNvSpPr>
      </xdr:nvSpPr>
      <xdr:spPr>
        <a:xfrm>
          <a:off x="6029325" y="50091975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771525</xdr:colOff>
      <xdr:row>144</xdr:row>
      <xdr:rowOff>19050</xdr:rowOff>
    </xdr:from>
    <xdr:to>
      <xdr:col>1</xdr:col>
      <xdr:colOff>771525</xdr:colOff>
      <xdr:row>161</xdr:row>
      <xdr:rowOff>266700</xdr:rowOff>
    </xdr:to>
    <xdr:sp>
      <xdr:nvSpPr>
        <xdr:cNvPr id="13" name="Line 13"/>
        <xdr:cNvSpPr>
          <a:spLocks/>
        </xdr:cNvSpPr>
      </xdr:nvSpPr>
      <xdr:spPr>
        <a:xfrm flipV="1">
          <a:off x="1752600" y="40557450"/>
          <a:ext cx="0" cy="496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771525</xdr:colOff>
      <xdr:row>144</xdr:row>
      <xdr:rowOff>0</xdr:rowOff>
    </xdr:from>
    <xdr:to>
      <xdr:col>0</xdr:col>
      <xdr:colOff>771525</xdr:colOff>
      <xdr:row>162</xdr:row>
      <xdr:rowOff>0</xdr:rowOff>
    </xdr:to>
    <xdr:sp>
      <xdr:nvSpPr>
        <xdr:cNvPr id="14" name="Line 14"/>
        <xdr:cNvSpPr>
          <a:spLocks/>
        </xdr:cNvSpPr>
      </xdr:nvSpPr>
      <xdr:spPr>
        <a:xfrm>
          <a:off x="771525" y="40538400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144</xdr:row>
      <xdr:rowOff>0</xdr:rowOff>
    </xdr:from>
    <xdr:to>
      <xdr:col>5</xdr:col>
      <xdr:colOff>1038225</xdr:colOff>
      <xdr:row>162</xdr:row>
      <xdr:rowOff>0</xdr:rowOff>
    </xdr:to>
    <xdr:sp>
      <xdr:nvSpPr>
        <xdr:cNvPr id="15" name="Line 15"/>
        <xdr:cNvSpPr>
          <a:spLocks/>
        </xdr:cNvSpPr>
      </xdr:nvSpPr>
      <xdr:spPr>
        <a:xfrm>
          <a:off x="6029325" y="40538400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771525</xdr:colOff>
      <xdr:row>110</xdr:row>
      <xdr:rowOff>19050</xdr:rowOff>
    </xdr:from>
    <xdr:to>
      <xdr:col>1</xdr:col>
      <xdr:colOff>771525</xdr:colOff>
      <xdr:row>127</xdr:row>
      <xdr:rowOff>266700</xdr:rowOff>
    </xdr:to>
    <xdr:sp>
      <xdr:nvSpPr>
        <xdr:cNvPr id="16" name="Line 16"/>
        <xdr:cNvSpPr>
          <a:spLocks/>
        </xdr:cNvSpPr>
      </xdr:nvSpPr>
      <xdr:spPr>
        <a:xfrm flipV="1">
          <a:off x="1752600" y="31003875"/>
          <a:ext cx="0" cy="496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771525</xdr:colOff>
      <xdr:row>110</xdr:row>
      <xdr:rowOff>0</xdr:rowOff>
    </xdr:from>
    <xdr:to>
      <xdr:col>0</xdr:col>
      <xdr:colOff>771525</xdr:colOff>
      <xdr:row>128</xdr:row>
      <xdr:rowOff>0</xdr:rowOff>
    </xdr:to>
    <xdr:sp>
      <xdr:nvSpPr>
        <xdr:cNvPr id="17" name="Line 17"/>
        <xdr:cNvSpPr>
          <a:spLocks/>
        </xdr:cNvSpPr>
      </xdr:nvSpPr>
      <xdr:spPr>
        <a:xfrm>
          <a:off x="771525" y="30984825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110</xdr:row>
      <xdr:rowOff>0</xdr:rowOff>
    </xdr:from>
    <xdr:to>
      <xdr:col>5</xdr:col>
      <xdr:colOff>1038225</xdr:colOff>
      <xdr:row>128</xdr:row>
      <xdr:rowOff>0</xdr:rowOff>
    </xdr:to>
    <xdr:sp>
      <xdr:nvSpPr>
        <xdr:cNvPr id="18" name="Line 18"/>
        <xdr:cNvSpPr>
          <a:spLocks/>
        </xdr:cNvSpPr>
      </xdr:nvSpPr>
      <xdr:spPr>
        <a:xfrm>
          <a:off x="6029325" y="30984825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771525</xdr:colOff>
      <xdr:row>76</xdr:row>
      <xdr:rowOff>19050</xdr:rowOff>
    </xdr:from>
    <xdr:to>
      <xdr:col>1</xdr:col>
      <xdr:colOff>771525</xdr:colOff>
      <xdr:row>93</xdr:row>
      <xdr:rowOff>266700</xdr:rowOff>
    </xdr:to>
    <xdr:sp>
      <xdr:nvSpPr>
        <xdr:cNvPr id="19" name="Line 19"/>
        <xdr:cNvSpPr>
          <a:spLocks/>
        </xdr:cNvSpPr>
      </xdr:nvSpPr>
      <xdr:spPr>
        <a:xfrm flipV="1">
          <a:off x="1752600" y="21450300"/>
          <a:ext cx="0" cy="496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771525</xdr:colOff>
      <xdr:row>76</xdr:row>
      <xdr:rowOff>0</xdr:rowOff>
    </xdr:from>
    <xdr:to>
      <xdr:col>0</xdr:col>
      <xdr:colOff>771525</xdr:colOff>
      <xdr:row>94</xdr:row>
      <xdr:rowOff>0</xdr:rowOff>
    </xdr:to>
    <xdr:sp>
      <xdr:nvSpPr>
        <xdr:cNvPr id="20" name="Line 20"/>
        <xdr:cNvSpPr>
          <a:spLocks/>
        </xdr:cNvSpPr>
      </xdr:nvSpPr>
      <xdr:spPr>
        <a:xfrm>
          <a:off x="771525" y="21431250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76</xdr:row>
      <xdr:rowOff>0</xdr:rowOff>
    </xdr:from>
    <xdr:to>
      <xdr:col>5</xdr:col>
      <xdr:colOff>1038225</xdr:colOff>
      <xdr:row>94</xdr:row>
      <xdr:rowOff>0</xdr:rowOff>
    </xdr:to>
    <xdr:sp>
      <xdr:nvSpPr>
        <xdr:cNvPr id="21" name="Line 21"/>
        <xdr:cNvSpPr>
          <a:spLocks/>
        </xdr:cNvSpPr>
      </xdr:nvSpPr>
      <xdr:spPr>
        <a:xfrm>
          <a:off x="6029325" y="21431250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771525</xdr:colOff>
      <xdr:row>42</xdr:row>
      <xdr:rowOff>19050</xdr:rowOff>
    </xdr:from>
    <xdr:to>
      <xdr:col>1</xdr:col>
      <xdr:colOff>771525</xdr:colOff>
      <xdr:row>59</xdr:row>
      <xdr:rowOff>266700</xdr:rowOff>
    </xdr:to>
    <xdr:sp>
      <xdr:nvSpPr>
        <xdr:cNvPr id="22" name="Line 25"/>
        <xdr:cNvSpPr>
          <a:spLocks/>
        </xdr:cNvSpPr>
      </xdr:nvSpPr>
      <xdr:spPr>
        <a:xfrm flipV="1">
          <a:off x="1752600" y="11896725"/>
          <a:ext cx="0" cy="496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771525</xdr:colOff>
      <xdr:row>42</xdr:row>
      <xdr:rowOff>0</xdr:rowOff>
    </xdr:from>
    <xdr:to>
      <xdr:col>0</xdr:col>
      <xdr:colOff>771525</xdr:colOff>
      <xdr:row>60</xdr:row>
      <xdr:rowOff>0</xdr:rowOff>
    </xdr:to>
    <xdr:sp>
      <xdr:nvSpPr>
        <xdr:cNvPr id="23" name="Line 26"/>
        <xdr:cNvSpPr>
          <a:spLocks/>
        </xdr:cNvSpPr>
      </xdr:nvSpPr>
      <xdr:spPr>
        <a:xfrm>
          <a:off x="771525" y="11877675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42</xdr:row>
      <xdr:rowOff>0</xdr:rowOff>
    </xdr:from>
    <xdr:to>
      <xdr:col>5</xdr:col>
      <xdr:colOff>1038225</xdr:colOff>
      <xdr:row>60</xdr:row>
      <xdr:rowOff>0</xdr:rowOff>
    </xdr:to>
    <xdr:sp>
      <xdr:nvSpPr>
        <xdr:cNvPr id="24" name="Line 27"/>
        <xdr:cNvSpPr>
          <a:spLocks/>
        </xdr:cNvSpPr>
      </xdr:nvSpPr>
      <xdr:spPr>
        <a:xfrm>
          <a:off x="6029325" y="11877675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771525</xdr:colOff>
      <xdr:row>8</xdr:row>
      <xdr:rowOff>19050</xdr:rowOff>
    </xdr:from>
    <xdr:to>
      <xdr:col>1</xdr:col>
      <xdr:colOff>771525</xdr:colOff>
      <xdr:row>25</xdr:row>
      <xdr:rowOff>266700</xdr:rowOff>
    </xdr:to>
    <xdr:sp>
      <xdr:nvSpPr>
        <xdr:cNvPr id="25" name="Line 28"/>
        <xdr:cNvSpPr>
          <a:spLocks/>
        </xdr:cNvSpPr>
      </xdr:nvSpPr>
      <xdr:spPr>
        <a:xfrm flipV="1">
          <a:off x="1752600" y="2343150"/>
          <a:ext cx="0" cy="496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771525</xdr:colOff>
      <xdr:row>8</xdr:row>
      <xdr:rowOff>0</xdr:rowOff>
    </xdr:from>
    <xdr:to>
      <xdr:col>0</xdr:col>
      <xdr:colOff>771525</xdr:colOff>
      <xdr:row>26</xdr:row>
      <xdr:rowOff>0</xdr:rowOff>
    </xdr:to>
    <xdr:sp>
      <xdr:nvSpPr>
        <xdr:cNvPr id="26" name="Line 29"/>
        <xdr:cNvSpPr>
          <a:spLocks/>
        </xdr:cNvSpPr>
      </xdr:nvSpPr>
      <xdr:spPr>
        <a:xfrm>
          <a:off x="771525" y="2324100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8</xdr:row>
      <xdr:rowOff>0</xdr:rowOff>
    </xdr:from>
    <xdr:to>
      <xdr:col>5</xdr:col>
      <xdr:colOff>1038225</xdr:colOff>
      <xdr:row>26</xdr:row>
      <xdr:rowOff>0</xdr:rowOff>
    </xdr:to>
    <xdr:sp>
      <xdr:nvSpPr>
        <xdr:cNvPr id="27" name="Line 30"/>
        <xdr:cNvSpPr>
          <a:spLocks/>
        </xdr:cNvSpPr>
      </xdr:nvSpPr>
      <xdr:spPr>
        <a:xfrm>
          <a:off x="6029325" y="2324100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330</xdr:row>
      <xdr:rowOff>0</xdr:rowOff>
    </xdr:from>
    <xdr:to>
      <xdr:col>2</xdr:col>
      <xdr:colOff>790575</xdr:colOff>
      <xdr:row>356</xdr:row>
      <xdr:rowOff>247650</xdr:rowOff>
    </xdr:to>
    <xdr:sp>
      <xdr:nvSpPr>
        <xdr:cNvPr id="1" name="Line 2"/>
        <xdr:cNvSpPr>
          <a:spLocks/>
        </xdr:cNvSpPr>
      </xdr:nvSpPr>
      <xdr:spPr>
        <a:xfrm flipH="1">
          <a:off x="5295900" y="99602925"/>
          <a:ext cx="0" cy="817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809625</xdr:colOff>
      <xdr:row>330</xdr:row>
      <xdr:rowOff>0</xdr:rowOff>
    </xdr:from>
    <xdr:to>
      <xdr:col>3</xdr:col>
      <xdr:colOff>809625</xdr:colOff>
      <xdr:row>356</xdr:row>
      <xdr:rowOff>285750</xdr:rowOff>
    </xdr:to>
    <xdr:sp>
      <xdr:nvSpPr>
        <xdr:cNvPr id="2" name="Line 3"/>
        <xdr:cNvSpPr>
          <a:spLocks/>
        </xdr:cNvSpPr>
      </xdr:nvSpPr>
      <xdr:spPr>
        <a:xfrm flipV="1">
          <a:off x="6353175" y="99602925"/>
          <a:ext cx="0" cy="821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790575</xdr:colOff>
      <xdr:row>370</xdr:row>
      <xdr:rowOff>9525</xdr:rowOff>
    </xdr:from>
    <xdr:to>
      <xdr:col>2</xdr:col>
      <xdr:colOff>790575</xdr:colOff>
      <xdr:row>387</xdr:row>
      <xdr:rowOff>247650</xdr:rowOff>
    </xdr:to>
    <xdr:sp>
      <xdr:nvSpPr>
        <xdr:cNvPr id="3" name="Line 4"/>
        <xdr:cNvSpPr>
          <a:spLocks/>
        </xdr:cNvSpPr>
      </xdr:nvSpPr>
      <xdr:spPr>
        <a:xfrm flipH="1">
          <a:off x="5295900" y="111775875"/>
          <a:ext cx="0" cy="541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809625</xdr:colOff>
      <xdr:row>370</xdr:row>
      <xdr:rowOff>0</xdr:rowOff>
    </xdr:from>
    <xdr:to>
      <xdr:col>3</xdr:col>
      <xdr:colOff>809625</xdr:colOff>
      <xdr:row>387</xdr:row>
      <xdr:rowOff>285750</xdr:rowOff>
    </xdr:to>
    <xdr:sp>
      <xdr:nvSpPr>
        <xdr:cNvPr id="4" name="Line 5"/>
        <xdr:cNvSpPr>
          <a:spLocks/>
        </xdr:cNvSpPr>
      </xdr:nvSpPr>
      <xdr:spPr>
        <a:xfrm flipV="1">
          <a:off x="6353175" y="111766350"/>
          <a:ext cx="0" cy="546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790575</xdr:colOff>
      <xdr:row>289</xdr:row>
      <xdr:rowOff>0</xdr:rowOff>
    </xdr:from>
    <xdr:to>
      <xdr:col>2</xdr:col>
      <xdr:colOff>790575</xdr:colOff>
      <xdr:row>316</xdr:row>
      <xdr:rowOff>247650</xdr:rowOff>
    </xdr:to>
    <xdr:sp>
      <xdr:nvSpPr>
        <xdr:cNvPr id="5" name="Line 6"/>
        <xdr:cNvSpPr>
          <a:spLocks/>
        </xdr:cNvSpPr>
      </xdr:nvSpPr>
      <xdr:spPr>
        <a:xfrm flipH="1">
          <a:off x="5295900" y="87191850"/>
          <a:ext cx="0" cy="847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809625</xdr:colOff>
      <xdr:row>289</xdr:row>
      <xdr:rowOff>0</xdr:rowOff>
    </xdr:from>
    <xdr:to>
      <xdr:col>3</xdr:col>
      <xdr:colOff>809625</xdr:colOff>
      <xdr:row>316</xdr:row>
      <xdr:rowOff>285750</xdr:rowOff>
    </xdr:to>
    <xdr:sp>
      <xdr:nvSpPr>
        <xdr:cNvPr id="6" name="Line 7"/>
        <xdr:cNvSpPr>
          <a:spLocks/>
        </xdr:cNvSpPr>
      </xdr:nvSpPr>
      <xdr:spPr>
        <a:xfrm flipV="1">
          <a:off x="6353175" y="87191850"/>
          <a:ext cx="0" cy="851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790575</xdr:colOff>
      <xdr:row>249</xdr:row>
      <xdr:rowOff>0</xdr:rowOff>
    </xdr:from>
    <xdr:to>
      <xdr:col>2</xdr:col>
      <xdr:colOff>790575</xdr:colOff>
      <xdr:row>276</xdr:row>
      <xdr:rowOff>247650</xdr:rowOff>
    </xdr:to>
    <xdr:sp>
      <xdr:nvSpPr>
        <xdr:cNvPr id="7" name="Line 10"/>
        <xdr:cNvSpPr>
          <a:spLocks/>
        </xdr:cNvSpPr>
      </xdr:nvSpPr>
      <xdr:spPr>
        <a:xfrm flipH="1">
          <a:off x="5295900" y="75037950"/>
          <a:ext cx="0" cy="847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809625</xdr:colOff>
      <xdr:row>249</xdr:row>
      <xdr:rowOff>0</xdr:rowOff>
    </xdr:from>
    <xdr:to>
      <xdr:col>3</xdr:col>
      <xdr:colOff>809625</xdr:colOff>
      <xdr:row>276</xdr:row>
      <xdr:rowOff>285750</xdr:rowOff>
    </xdr:to>
    <xdr:sp>
      <xdr:nvSpPr>
        <xdr:cNvPr id="8" name="Line 11"/>
        <xdr:cNvSpPr>
          <a:spLocks/>
        </xdr:cNvSpPr>
      </xdr:nvSpPr>
      <xdr:spPr>
        <a:xfrm flipV="1">
          <a:off x="6353175" y="75037950"/>
          <a:ext cx="0" cy="851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790575</xdr:colOff>
      <xdr:row>207</xdr:row>
      <xdr:rowOff>0</xdr:rowOff>
    </xdr:from>
    <xdr:to>
      <xdr:col>2</xdr:col>
      <xdr:colOff>790575</xdr:colOff>
      <xdr:row>234</xdr:row>
      <xdr:rowOff>247650</xdr:rowOff>
    </xdr:to>
    <xdr:sp>
      <xdr:nvSpPr>
        <xdr:cNvPr id="9" name="Line 12"/>
        <xdr:cNvSpPr>
          <a:spLocks/>
        </xdr:cNvSpPr>
      </xdr:nvSpPr>
      <xdr:spPr>
        <a:xfrm flipH="1">
          <a:off x="5295900" y="62445900"/>
          <a:ext cx="0" cy="847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809625</xdr:colOff>
      <xdr:row>207</xdr:row>
      <xdr:rowOff>0</xdr:rowOff>
    </xdr:from>
    <xdr:to>
      <xdr:col>3</xdr:col>
      <xdr:colOff>809625</xdr:colOff>
      <xdr:row>234</xdr:row>
      <xdr:rowOff>285750</xdr:rowOff>
    </xdr:to>
    <xdr:sp>
      <xdr:nvSpPr>
        <xdr:cNvPr id="10" name="Line 13"/>
        <xdr:cNvSpPr>
          <a:spLocks/>
        </xdr:cNvSpPr>
      </xdr:nvSpPr>
      <xdr:spPr>
        <a:xfrm flipV="1">
          <a:off x="6353175" y="62445900"/>
          <a:ext cx="0" cy="851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790575</xdr:colOff>
      <xdr:row>167</xdr:row>
      <xdr:rowOff>0</xdr:rowOff>
    </xdr:from>
    <xdr:to>
      <xdr:col>2</xdr:col>
      <xdr:colOff>790575</xdr:colOff>
      <xdr:row>194</xdr:row>
      <xdr:rowOff>247650</xdr:rowOff>
    </xdr:to>
    <xdr:sp>
      <xdr:nvSpPr>
        <xdr:cNvPr id="11" name="Line 15"/>
        <xdr:cNvSpPr>
          <a:spLocks/>
        </xdr:cNvSpPr>
      </xdr:nvSpPr>
      <xdr:spPr>
        <a:xfrm flipH="1">
          <a:off x="5295900" y="50377725"/>
          <a:ext cx="0" cy="847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809625</xdr:colOff>
      <xdr:row>167</xdr:row>
      <xdr:rowOff>0</xdr:rowOff>
    </xdr:from>
    <xdr:to>
      <xdr:col>3</xdr:col>
      <xdr:colOff>809625</xdr:colOff>
      <xdr:row>194</xdr:row>
      <xdr:rowOff>285750</xdr:rowOff>
    </xdr:to>
    <xdr:sp>
      <xdr:nvSpPr>
        <xdr:cNvPr id="12" name="Line 16"/>
        <xdr:cNvSpPr>
          <a:spLocks/>
        </xdr:cNvSpPr>
      </xdr:nvSpPr>
      <xdr:spPr>
        <a:xfrm flipV="1">
          <a:off x="6353175" y="50377725"/>
          <a:ext cx="0" cy="851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790575</xdr:colOff>
      <xdr:row>127</xdr:row>
      <xdr:rowOff>0</xdr:rowOff>
    </xdr:from>
    <xdr:to>
      <xdr:col>2</xdr:col>
      <xdr:colOff>790575</xdr:colOff>
      <xdr:row>154</xdr:row>
      <xdr:rowOff>247650</xdr:rowOff>
    </xdr:to>
    <xdr:sp>
      <xdr:nvSpPr>
        <xdr:cNvPr id="13" name="Line 17"/>
        <xdr:cNvSpPr>
          <a:spLocks/>
        </xdr:cNvSpPr>
      </xdr:nvSpPr>
      <xdr:spPr>
        <a:xfrm flipH="1">
          <a:off x="5295900" y="38309550"/>
          <a:ext cx="0" cy="847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809625</xdr:colOff>
      <xdr:row>127</xdr:row>
      <xdr:rowOff>0</xdr:rowOff>
    </xdr:from>
    <xdr:to>
      <xdr:col>3</xdr:col>
      <xdr:colOff>809625</xdr:colOff>
      <xdr:row>154</xdr:row>
      <xdr:rowOff>285750</xdr:rowOff>
    </xdr:to>
    <xdr:sp>
      <xdr:nvSpPr>
        <xdr:cNvPr id="14" name="Line 18"/>
        <xdr:cNvSpPr>
          <a:spLocks/>
        </xdr:cNvSpPr>
      </xdr:nvSpPr>
      <xdr:spPr>
        <a:xfrm flipV="1">
          <a:off x="6353175" y="38309550"/>
          <a:ext cx="0" cy="851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790575</xdr:colOff>
      <xdr:row>87</xdr:row>
      <xdr:rowOff>0</xdr:rowOff>
    </xdr:from>
    <xdr:to>
      <xdr:col>2</xdr:col>
      <xdr:colOff>790575</xdr:colOff>
      <xdr:row>114</xdr:row>
      <xdr:rowOff>247650</xdr:rowOff>
    </xdr:to>
    <xdr:sp>
      <xdr:nvSpPr>
        <xdr:cNvPr id="15" name="Line 19"/>
        <xdr:cNvSpPr>
          <a:spLocks/>
        </xdr:cNvSpPr>
      </xdr:nvSpPr>
      <xdr:spPr>
        <a:xfrm flipH="1">
          <a:off x="5295900" y="26241375"/>
          <a:ext cx="0" cy="847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809625</xdr:colOff>
      <xdr:row>87</xdr:row>
      <xdr:rowOff>0</xdr:rowOff>
    </xdr:from>
    <xdr:to>
      <xdr:col>3</xdr:col>
      <xdr:colOff>809625</xdr:colOff>
      <xdr:row>114</xdr:row>
      <xdr:rowOff>285750</xdr:rowOff>
    </xdr:to>
    <xdr:sp>
      <xdr:nvSpPr>
        <xdr:cNvPr id="16" name="Line 20"/>
        <xdr:cNvSpPr>
          <a:spLocks/>
        </xdr:cNvSpPr>
      </xdr:nvSpPr>
      <xdr:spPr>
        <a:xfrm flipV="1">
          <a:off x="6353175" y="26241375"/>
          <a:ext cx="0" cy="851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790575</xdr:colOff>
      <xdr:row>47</xdr:row>
      <xdr:rowOff>0</xdr:rowOff>
    </xdr:from>
    <xdr:to>
      <xdr:col>2</xdr:col>
      <xdr:colOff>790575</xdr:colOff>
      <xdr:row>74</xdr:row>
      <xdr:rowOff>247650</xdr:rowOff>
    </xdr:to>
    <xdr:sp>
      <xdr:nvSpPr>
        <xdr:cNvPr id="17" name="Line 21"/>
        <xdr:cNvSpPr>
          <a:spLocks/>
        </xdr:cNvSpPr>
      </xdr:nvSpPr>
      <xdr:spPr>
        <a:xfrm flipH="1">
          <a:off x="5295900" y="14173200"/>
          <a:ext cx="0" cy="847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809625</xdr:colOff>
      <xdr:row>47</xdr:row>
      <xdr:rowOff>0</xdr:rowOff>
    </xdr:from>
    <xdr:to>
      <xdr:col>3</xdr:col>
      <xdr:colOff>809625</xdr:colOff>
      <xdr:row>74</xdr:row>
      <xdr:rowOff>285750</xdr:rowOff>
    </xdr:to>
    <xdr:sp>
      <xdr:nvSpPr>
        <xdr:cNvPr id="18" name="Line 22"/>
        <xdr:cNvSpPr>
          <a:spLocks/>
        </xdr:cNvSpPr>
      </xdr:nvSpPr>
      <xdr:spPr>
        <a:xfrm flipV="1">
          <a:off x="6353175" y="14173200"/>
          <a:ext cx="0" cy="851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790575</xdr:colOff>
      <xdr:row>7</xdr:row>
      <xdr:rowOff>0</xdr:rowOff>
    </xdr:from>
    <xdr:to>
      <xdr:col>2</xdr:col>
      <xdr:colOff>790575</xdr:colOff>
      <xdr:row>34</xdr:row>
      <xdr:rowOff>247650</xdr:rowOff>
    </xdr:to>
    <xdr:sp>
      <xdr:nvSpPr>
        <xdr:cNvPr id="19" name="Line 23"/>
        <xdr:cNvSpPr>
          <a:spLocks/>
        </xdr:cNvSpPr>
      </xdr:nvSpPr>
      <xdr:spPr>
        <a:xfrm flipH="1">
          <a:off x="5295900" y="2105025"/>
          <a:ext cx="0" cy="847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809625</xdr:colOff>
      <xdr:row>7</xdr:row>
      <xdr:rowOff>0</xdr:rowOff>
    </xdr:from>
    <xdr:to>
      <xdr:col>3</xdr:col>
      <xdr:colOff>809625</xdr:colOff>
      <xdr:row>34</xdr:row>
      <xdr:rowOff>285750</xdr:rowOff>
    </xdr:to>
    <xdr:sp>
      <xdr:nvSpPr>
        <xdr:cNvPr id="20" name="Line 24"/>
        <xdr:cNvSpPr>
          <a:spLocks/>
        </xdr:cNvSpPr>
      </xdr:nvSpPr>
      <xdr:spPr>
        <a:xfrm flipV="1">
          <a:off x="6353175" y="2105025"/>
          <a:ext cx="0" cy="851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115"/>
  <sheetViews>
    <sheetView workbookViewId="0" topLeftCell="A7">
      <selection activeCell="H32" sqref="H32"/>
    </sheetView>
  </sheetViews>
  <sheetFormatPr defaultColWidth="9.140625" defaultRowHeight="21.75"/>
  <cols>
    <col min="1" max="1" width="17.140625" style="58" customWidth="1"/>
    <col min="2" max="2" width="16.00390625" style="58" customWidth="1"/>
    <col min="3" max="3" width="13.7109375" style="61" customWidth="1"/>
    <col min="4" max="4" width="18.00390625" style="61" customWidth="1"/>
    <col min="5" max="5" width="8.140625" style="62" customWidth="1"/>
    <col min="6" max="6" width="18.57421875" style="58" customWidth="1"/>
    <col min="7" max="7" width="14.00390625" style="58" customWidth="1"/>
    <col min="8" max="9" width="14.57421875" style="61" bestFit="1" customWidth="1"/>
    <col min="10" max="16384" width="9.140625" style="61" customWidth="1"/>
  </cols>
  <sheetData>
    <row r="2" spans="1:7" ht="24">
      <c r="A2" s="473" t="s">
        <v>7</v>
      </c>
      <c r="B2" s="474"/>
      <c r="C2" s="218"/>
      <c r="D2" s="219"/>
      <c r="E2" s="108" t="s">
        <v>4</v>
      </c>
      <c r="F2" s="110" t="s">
        <v>6</v>
      </c>
      <c r="G2" s="72"/>
    </row>
    <row r="3" spans="1:7" ht="24">
      <c r="A3" s="110" t="s">
        <v>0</v>
      </c>
      <c r="B3" s="110" t="s">
        <v>2</v>
      </c>
      <c r="C3" s="220" t="s">
        <v>3</v>
      </c>
      <c r="D3" s="107"/>
      <c r="E3" s="108" t="s">
        <v>5</v>
      </c>
      <c r="F3" s="110" t="s">
        <v>2</v>
      </c>
      <c r="G3" s="72"/>
    </row>
    <row r="4" spans="1:7" ht="24">
      <c r="A4" s="114" t="s">
        <v>1</v>
      </c>
      <c r="B4" s="114" t="s">
        <v>1</v>
      </c>
      <c r="C4" s="221"/>
      <c r="D4" s="111"/>
      <c r="E4" s="112"/>
      <c r="F4" s="114" t="s">
        <v>1</v>
      </c>
      <c r="G4" s="72"/>
    </row>
    <row r="5" spans="1:7" ht="24">
      <c r="A5" s="222"/>
      <c r="B5" s="72"/>
      <c r="C5" s="223" t="s">
        <v>18</v>
      </c>
      <c r="D5" s="224"/>
      <c r="E5" s="106"/>
      <c r="F5" s="222"/>
      <c r="G5" s="72"/>
    </row>
    <row r="6" spans="1:7" ht="24">
      <c r="A6" s="74">
        <v>2176000</v>
      </c>
      <c r="B6" s="72">
        <f>1066039.1+F6</f>
        <v>1144536.1</v>
      </c>
      <c r="C6" s="225" t="s">
        <v>21</v>
      </c>
      <c r="D6" s="226"/>
      <c r="E6" s="227">
        <v>510000</v>
      </c>
      <c r="F6" s="74">
        <v>78497</v>
      </c>
      <c r="G6" s="72"/>
    </row>
    <row r="7" spans="1:9" ht="24">
      <c r="A7" s="74">
        <v>3236670</v>
      </c>
      <c r="B7" s="72">
        <f>1944796+F7</f>
        <v>2183472</v>
      </c>
      <c r="C7" s="225" t="s">
        <v>22</v>
      </c>
      <c r="D7" s="226"/>
      <c r="E7" s="106">
        <v>520000</v>
      </c>
      <c r="F7" s="74">
        <v>238676</v>
      </c>
      <c r="G7" s="72"/>
      <c r="I7" s="58">
        <v>1762931.06</v>
      </c>
    </row>
    <row r="8" spans="1:9" ht="24">
      <c r="A8" s="74">
        <v>252960</v>
      </c>
      <c r="B8" s="72">
        <f>166740+F8</f>
        <v>187830</v>
      </c>
      <c r="C8" s="225" t="s">
        <v>23</v>
      </c>
      <c r="D8" s="226"/>
      <c r="E8" s="106"/>
      <c r="F8" s="74">
        <v>21090</v>
      </c>
      <c r="G8" s="72"/>
      <c r="I8" s="58">
        <v>860629.84</v>
      </c>
    </row>
    <row r="9" spans="1:9" ht="24">
      <c r="A9" s="74">
        <v>772320</v>
      </c>
      <c r="B9" s="72">
        <f>449280+F9</f>
        <v>505440</v>
      </c>
      <c r="C9" s="225" t="s">
        <v>24</v>
      </c>
      <c r="D9" s="226"/>
      <c r="E9" s="106"/>
      <c r="F9" s="74">
        <v>56160</v>
      </c>
      <c r="G9" s="72"/>
      <c r="I9" s="58">
        <f>SUM(I7:I8)</f>
        <v>2623560.9</v>
      </c>
    </row>
    <row r="10" spans="1:9" ht="24">
      <c r="A10" s="74">
        <v>1080900</v>
      </c>
      <c r="B10" s="72">
        <f>254432+F10</f>
        <v>282168</v>
      </c>
      <c r="C10" s="225" t="s">
        <v>25</v>
      </c>
      <c r="D10" s="226"/>
      <c r="E10" s="106">
        <v>531000</v>
      </c>
      <c r="F10" s="74">
        <v>27736</v>
      </c>
      <c r="G10" s="72"/>
      <c r="I10" s="58"/>
    </row>
    <row r="11" spans="1:9" ht="24">
      <c r="A11" s="74">
        <v>1701850</v>
      </c>
      <c r="B11" s="72">
        <f>493360.91+F11</f>
        <v>638910.9099999999</v>
      </c>
      <c r="C11" s="225" t="s">
        <v>26</v>
      </c>
      <c r="D11" s="226"/>
      <c r="E11" s="106">
        <v>532000</v>
      </c>
      <c r="F11" s="74">
        <v>145550</v>
      </c>
      <c r="G11" s="72"/>
      <c r="I11" s="58"/>
    </row>
    <row r="12" spans="1:9" ht="24">
      <c r="A12" s="74">
        <v>1872840</v>
      </c>
      <c r="B12" s="72">
        <f>789801.61+F12</f>
        <v>804084.86</v>
      </c>
      <c r="C12" s="225" t="s">
        <v>27</v>
      </c>
      <c r="D12" s="226"/>
      <c r="E12" s="106">
        <v>533000</v>
      </c>
      <c r="F12" s="74">
        <v>14283.25</v>
      </c>
      <c r="G12" s="72"/>
      <c r="I12" s="58"/>
    </row>
    <row r="13" spans="1:9" ht="24">
      <c r="A13" s="74">
        <v>116040</v>
      </c>
      <c r="B13" s="72">
        <f>62928.66+F13</f>
        <v>73334.83</v>
      </c>
      <c r="C13" s="225" t="s">
        <v>28</v>
      </c>
      <c r="D13" s="226"/>
      <c r="E13" s="106">
        <v>534000</v>
      </c>
      <c r="F13" s="74">
        <v>10406.17</v>
      </c>
      <c r="G13" s="72"/>
      <c r="I13" s="58">
        <v>4473298.91</v>
      </c>
    </row>
    <row r="14" spans="1:9" ht="24">
      <c r="A14" s="74">
        <v>20000</v>
      </c>
      <c r="B14" s="72">
        <f>F14+B52</f>
        <v>0</v>
      </c>
      <c r="C14" s="225" t="s">
        <v>29</v>
      </c>
      <c r="D14" s="226"/>
      <c r="E14" s="106">
        <v>541000</v>
      </c>
      <c r="F14" s="228">
        <v>0</v>
      </c>
      <c r="G14" s="72"/>
      <c r="I14" s="61">
        <v>524340.18</v>
      </c>
    </row>
    <row r="15" spans="1:9" ht="24">
      <c r="A15" s="74">
        <v>3542000</v>
      </c>
      <c r="B15" s="72">
        <f>F15+B53</f>
        <v>0</v>
      </c>
      <c r="C15" s="225" t="s">
        <v>30</v>
      </c>
      <c r="D15" s="226"/>
      <c r="E15" s="106">
        <v>542000</v>
      </c>
      <c r="F15" s="228">
        <v>0</v>
      </c>
      <c r="G15" s="72"/>
      <c r="I15" s="450">
        <f>SUM(I13:I14)</f>
        <v>4997639.09</v>
      </c>
    </row>
    <row r="16" spans="1:7" ht="24">
      <c r="A16" s="74">
        <v>816020</v>
      </c>
      <c r="B16" s="72">
        <v>564550</v>
      </c>
      <c r="C16" s="225" t="s">
        <v>173</v>
      </c>
      <c r="D16" s="226"/>
      <c r="E16" s="106">
        <v>550000</v>
      </c>
      <c r="F16" s="74">
        <v>0</v>
      </c>
      <c r="G16" s="72"/>
    </row>
    <row r="17" spans="1:7" ht="24">
      <c r="A17" s="74">
        <v>1712400</v>
      </c>
      <c r="B17" s="72">
        <f>718200+F17</f>
        <v>1197300</v>
      </c>
      <c r="C17" s="225" t="s">
        <v>31</v>
      </c>
      <c r="D17" s="226"/>
      <c r="E17" s="106">
        <v>560000</v>
      </c>
      <c r="F17" s="228">
        <v>479100</v>
      </c>
      <c r="G17" s="72"/>
    </row>
    <row r="18" spans="1:9" ht="24" thickBot="1">
      <c r="A18" s="271">
        <f>SUM(A5:A17)</f>
        <v>17300000</v>
      </c>
      <c r="B18" s="271">
        <f>SUM(B6:B17)</f>
        <v>7581626.7</v>
      </c>
      <c r="C18" s="284"/>
      <c r="D18" s="285"/>
      <c r="E18" s="286"/>
      <c r="F18" s="271">
        <f>SUM(F6:F17)</f>
        <v>1071498.42</v>
      </c>
      <c r="G18" s="287"/>
      <c r="I18" s="61">
        <v>6236229.97</v>
      </c>
    </row>
    <row r="19" spans="1:9" ht="24.75" thickTop="1">
      <c r="A19" s="74"/>
      <c r="B19" s="217"/>
      <c r="C19" s="229"/>
      <c r="D19" s="226"/>
      <c r="E19" s="106"/>
      <c r="F19" s="74"/>
      <c r="G19" s="72"/>
      <c r="I19" s="61">
        <v>1384970.02</v>
      </c>
    </row>
    <row r="20" spans="1:9" ht="24">
      <c r="A20" s="74"/>
      <c r="B20" s="217">
        <f>385031.37+F20</f>
        <v>386844.58</v>
      </c>
      <c r="C20" s="229" t="s">
        <v>99</v>
      </c>
      <c r="D20" s="226"/>
      <c r="E20" s="106">
        <v>230000</v>
      </c>
      <c r="F20" s="74">
        <f>'หมายเหตุ 2,3 '!F9</f>
        <v>1813.21</v>
      </c>
      <c r="G20" s="72"/>
      <c r="I20" s="61">
        <f>SUM(I18:I19)</f>
        <v>7621199.99</v>
      </c>
    </row>
    <row r="21" spans="1:7" ht="24">
      <c r="A21" s="74"/>
      <c r="B21" s="217">
        <f>330342+F21</f>
        <v>401738</v>
      </c>
      <c r="C21" s="70" t="s">
        <v>305</v>
      </c>
      <c r="D21" s="226"/>
      <c r="E21" s="106"/>
      <c r="F21" s="74">
        <v>71396</v>
      </c>
      <c r="G21" s="72"/>
    </row>
    <row r="22" spans="1:7" ht="24">
      <c r="A22" s="74"/>
      <c r="B22" s="217">
        <v>2238500</v>
      </c>
      <c r="C22" s="70" t="s">
        <v>362</v>
      </c>
      <c r="D22" s="226"/>
      <c r="E22" s="106"/>
      <c r="F22" s="74">
        <v>277000</v>
      </c>
      <c r="G22" s="72"/>
    </row>
    <row r="23" spans="1:7" ht="24">
      <c r="A23" s="74"/>
      <c r="B23" s="217">
        <f>F23+B61</f>
        <v>143640</v>
      </c>
      <c r="C23" s="229" t="s">
        <v>322</v>
      </c>
      <c r="D23" s="226"/>
      <c r="E23" s="106">
        <v>210300</v>
      </c>
      <c r="F23" s="74">
        <v>0</v>
      </c>
      <c r="G23" s="72"/>
    </row>
    <row r="24" spans="1:7" ht="24">
      <c r="A24" s="74"/>
      <c r="B24" s="217">
        <v>490865.62</v>
      </c>
      <c r="C24" s="192" t="s">
        <v>323</v>
      </c>
      <c r="D24" s="226"/>
      <c r="E24" s="106">
        <v>210402</v>
      </c>
      <c r="F24" s="74">
        <v>0</v>
      </c>
      <c r="G24" s="72"/>
    </row>
    <row r="25" spans="1:7" ht="24">
      <c r="A25" s="74"/>
      <c r="B25" s="217">
        <f>F25+B63</f>
        <v>498196</v>
      </c>
      <c r="C25" s="229" t="s">
        <v>324</v>
      </c>
      <c r="D25" s="226"/>
      <c r="E25" s="106"/>
      <c r="F25" s="74">
        <v>0</v>
      </c>
      <c r="G25" s="72"/>
    </row>
    <row r="26" spans="1:7" ht="24">
      <c r="A26" s="74"/>
      <c r="B26" s="217">
        <f>F26+B64</f>
        <v>15046.73</v>
      </c>
      <c r="C26" s="229" t="s">
        <v>100</v>
      </c>
      <c r="D26" s="226"/>
      <c r="E26" s="106"/>
      <c r="F26" s="74">
        <v>0</v>
      </c>
      <c r="G26" s="72"/>
    </row>
    <row r="27" spans="1:7" ht="24">
      <c r="A27" s="74"/>
      <c r="B27" s="217">
        <f>3679937+F27</f>
        <v>5575715</v>
      </c>
      <c r="C27" s="229" t="s">
        <v>363</v>
      </c>
      <c r="D27" s="226"/>
      <c r="E27" s="106">
        <v>441000</v>
      </c>
      <c r="F27" s="74">
        <f>'หมายเหต 6'!H246</f>
        <v>1895778</v>
      </c>
      <c r="G27" s="72"/>
    </row>
    <row r="28" spans="1:9" ht="25.5">
      <c r="A28" s="228"/>
      <c r="B28" s="283">
        <f>SUM(B20:B27)</f>
        <v>9750545.93</v>
      </c>
      <c r="C28" s="230"/>
      <c r="D28" s="231"/>
      <c r="E28" s="106"/>
      <c r="F28" s="291">
        <f>SUM(F20:F27)</f>
        <v>2245987.21</v>
      </c>
      <c r="G28" s="72"/>
      <c r="I28" s="58">
        <v>7519322.57</v>
      </c>
    </row>
    <row r="29" spans="1:9" ht="25.5">
      <c r="A29" s="283">
        <f>SUM(A18)</f>
        <v>17300000</v>
      </c>
      <c r="B29" s="289">
        <f>B18+B28</f>
        <v>17332172.63</v>
      </c>
      <c r="C29" s="475" t="s">
        <v>32</v>
      </c>
      <c r="D29" s="476"/>
      <c r="E29" s="286"/>
      <c r="F29" s="290">
        <f>F18+F28</f>
        <v>3317485.63</v>
      </c>
      <c r="G29" s="287"/>
      <c r="I29" s="58">
        <v>7520236.27</v>
      </c>
    </row>
    <row r="30" spans="1:9" ht="24">
      <c r="A30" s="74"/>
      <c r="B30" s="282">
        <f>'รายรับ '!B26-'รายจ่าย '!B29</f>
        <v>4825620.780000001</v>
      </c>
      <c r="C30" s="477" t="s">
        <v>331</v>
      </c>
      <c r="D30" s="478"/>
      <c r="E30" s="106"/>
      <c r="F30" s="308">
        <f>'รายรับ '!F26-'รายจ่าย '!F29</f>
        <v>-2250669.3099999996</v>
      </c>
      <c r="G30" s="72"/>
      <c r="I30" s="58">
        <f>I29-I28</f>
        <v>913.6999999992549</v>
      </c>
    </row>
    <row r="31" spans="1:7" ht="24">
      <c r="A31" s="74"/>
      <c r="B31" s="72"/>
      <c r="C31" s="233"/>
      <c r="D31" s="232"/>
      <c r="E31" s="106"/>
      <c r="F31" s="74"/>
      <c r="G31" s="72"/>
    </row>
    <row r="32" spans="1:7" ht="26.25" thickBot="1">
      <c r="A32" s="74"/>
      <c r="B32" s="293">
        <f>'รายรับ '!B9+'รายรับ '!B26-'รายจ่าย '!B29</f>
        <v>10655012.260000002</v>
      </c>
      <c r="C32" s="477" t="s">
        <v>33</v>
      </c>
      <c r="D32" s="478"/>
      <c r="E32" s="106"/>
      <c r="F32" s="293">
        <f>'รายรับ '!F9+'รายรับ '!F26-'รายจ่าย '!F29</f>
        <v>10655012.260000002</v>
      </c>
      <c r="G32" s="72"/>
    </row>
    <row r="33" spans="1:6" ht="22.5" thickTop="1">
      <c r="A33" s="59"/>
      <c r="C33" s="138"/>
      <c r="D33" s="139"/>
      <c r="F33" s="59"/>
    </row>
    <row r="34" spans="1:7" ht="24">
      <c r="A34" s="72" t="s">
        <v>158</v>
      </c>
      <c r="B34" s="72"/>
      <c r="C34" s="105" t="s">
        <v>159</v>
      </c>
      <c r="D34" s="105"/>
      <c r="E34" s="234" t="s">
        <v>160</v>
      </c>
      <c r="F34" s="72"/>
      <c r="G34" s="72"/>
    </row>
    <row r="35" spans="1:7" ht="24">
      <c r="A35" s="470" t="s">
        <v>332</v>
      </c>
      <c r="B35" s="470"/>
      <c r="C35" s="470" t="s">
        <v>333</v>
      </c>
      <c r="D35" s="470"/>
      <c r="E35" s="470" t="s">
        <v>334</v>
      </c>
      <c r="F35" s="471"/>
      <c r="G35" s="471"/>
    </row>
    <row r="36" spans="1:7" ht="24">
      <c r="A36" s="470" t="s">
        <v>161</v>
      </c>
      <c r="B36" s="470"/>
      <c r="C36" s="472" t="s">
        <v>34</v>
      </c>
      <c r="D36" s="472"/>
      <c r="E36" s="472" t="s">
        <v>335</v>
      </c>
      <c r="F36" s="472"/>
      <c r="G36" s="472"/>
    </row>
    <row r="37" spans="1:6" ht="21.75">
      <c r="A37" s="469"/>
      <c r="B37" s="469"/>
      <c r="C37" s="469"/>
      <c r="D37" s="469"/>
      <c r="E37" s="469"/>
      <c r="F37" s="469"/>
    </row>
    <row r="39" ht="21.75">
      <c r="H39" s="61" t="s">
        <v>360</v>
      </c>
    </row>
    <row r="40" spans="1:7" s="105" customFormat="1" ht="24">
      <c r="A40" s="473" t="s">
        <v>7</v>
      </c>
      <c r="B40" s="474"/>
      <c r="C40" s="218"/>
      <c r="D40" s="219"/>
      <c r="E40" s="108" t="s">
        <v>4</v>
      </c>
      <c r="F40" s="110" t="s">
        <v>6</v>
      </c>
      <c r="G40" s="72"/>
    </row>
    <row r="41" spans="1:7" s="105" customFormat="1" ht="24" customHeight="1">
      <c r="A41" s="110" t="s">
        <v>0</v>
      </c>
      <c r="B41" s="110" t="s">
        <v>2</v>
      </c>
      <c r="C41" s="220" t="s">
        <v>3</v>
      </c>
      <c r="D41" s="107"/>
      <c r="E41" s="108" t="s">
        <v>5</v>
      </c>
      <c r="F41" s="110" t="s">
        <v>2</v>
      </c>
      <c r="G41" s="72"/>
    </row>
    <row r="42" spans="1:7" s="105" customFormat="1" ht="16.5" customHeight="1">
      <c r="A42" s="114" t="s">
        <v>1</v>
      </c>
      <c r="B42" s="114" t="s">
        <v>1</v>
      </c>
      <c r="C42" s="221"/>
      <c r="D42" s="111"/>
      <c r="E42" s="112"/>
      <c r="F42" s="114" t="s">
        <v>1</v>
      </c>
      <c r="G42" s="72"/>
    </row>
    <row r="43" spans="1:7" s="105" customFormat="1" ht="20.25" customHeight="1">
      <c r="A43" s="222"/>
      <c r="B43" s="72"/>
      <c r="C43" s="223" t="s">
        <v>18</v>
      </c>
      <c r="D43" s="224"/>
      <c r="E43" s="106"/>
      <c r="F43" s="222"/>
      <c r="G43" s="72"/>
    </row>
    <row r="44" spans="1:7" s="105" customFormat="1" ht="21.75" customHeight="1">
      <c r="A44" s="74">
        <v>2400000</v>
      </c>
      <c r="B44" s="72">
        <f>F44</f>
        <v>149368</v>
      </c>
      <c r="C44" s="225" t="s">
        <v>21</v>
      </c>
      <c r="D44" s="226"/>
      <c r="E44" s="227">
        <v>510000</v>
      </c>
      <c r="F44" s="74">
        <v>149368</v>
      </c>
      <c r="G44" s="72"/>
    </row>
    <row r="45" spans="1:7" s="105" customFormat="1" ht="20.25" customHeight="1">
      <c r="A45" s="74">
        <v>2372880</v>
      </c>
      <c r="B45" s="72">
        <f>H47</f>
        <v>158782</v>
      </c>
      <c r="C45" s="225" t="s">
        <v>22</v>
      </c>
      <c r="D45" s="226"/>
      <c r="E45" s="106">
        <v>520000</v>
      </c>
      <c r="F45" s="74">
        <v>170910</v>
      </c>
      <c r="G45" s="72"/>
    </row>
    <row r="46" spans="1:8" s="105" customFormat="1" ht="19.5" customHeight="1">
      <c r="A46" s="74">
        <v>246240</v>
      </c>
      <c r="B46" s="72">
        <v>41520</v>
      </c>
      <c r="C46" s="225" t="s">
        <v>23</v>
      </c>
      <c r="D46" s="226"/>
      <c r="E46" s="106"/>
      <c r="F46" s="74">
        <v>20760</v>
      </c>
      <c r="G46" s="72"/>
      <c r="H46" s="105">
        <v>158782</v>
      </c>
    </row>
    <row r="47" spans="1:8" s="105" customFormat="1" ht="21" customHeight="1">
      <c r="A47" s="74">
        <v>1500960</v>
      </c>
      <c r="B47" s="72">
        <v>112320</v>
      </c>
      <c r="C47" s="225" t="s">
        <v>24</v>
      </c>
      <c r="D47" s="226"/>
      <c r="E47" s="106"/>
      <c r="F47" s="74">
        <v>56160</v>
      </c>
      <c r="G47" s="72"/>
      <c r="H47" s="105">
        <f>SUM(H45:H46)</f>
        <v>158782</v>
      </c>
    </row>
    <row r="48" spans="1:8" s="105" customFormat="1" ht="21.75" customHeight="1">
      <c r="A48" s="74">
        <v>1842890</v>
      </c>
      <c r="B48" s="72">
        <v>187390</v>
      </c>
      <c r="C48" s="225" t="s">
        <v>25</v>
      </c>
      <c r="D48" s="226"/>
      <c r="E48" s="106">
        <v>531000</v>
      </c>
      <c r="F48" s="74">
        <v>103765</v>
      </c>
      <c r="G48" s="72"/>
      <c r="H48" s="426">
        <f>B48+F48</f>
        <v>291155</v>
      </c>
    </row>
    <row r="49" spans="1:7" s="105" customFormat="1" ht="21.75" customHeight="1">
      <c r="A49" s="74">
        <v>2383900</v>
      </c>
      <c r="B49" s="72">
        <v>12876</v>
      </c>
      <c r="C49" s="225" t="s">
        <v>26</v>
      </c>
      <c r="D49" s="226"/>
      <c r="E49" s="106">
        <v>532000</v>
      </c>
      <c r="F49" s="74">
        <v>11876</v>
      </c>
      <c r="G49" s="72"/>
    </row>
    <row r="50" spans="1:7" s="105" customFormat="1" ht="23.25" customHeight="1">
      <c r="A50" s="74">
        <v>1941340</v>
      </c>
      <c r="B50" s="72">
        <v>5240</v>
      </c>
      <c r="C50" s="225" t="s">
        <v>27</v>
      </c>
      <c r="D50" s="226"/>
      <c r="E50" s="106">
        <v>533000</v>
      </c>
      <c r="F50" s="74">
        <v>5240</v>
      </c>
      <c r="G50" s="72"/>
    </row>
    <row r="51" spans="1:8" s="105" customFormat="1" ht="21.75" customHeight="1">
      <c r="A51" s="74">
        <v>118890</v>
      </c>
      <c r="B51" s="72">
        <v>14765.34</v>
      </c>
      <c r="C51" s="225" t="s">
        <v>28</v>
      </c>
      <c r="D51" s="226"/>
      <c r="E51" s="106">
        <v>534000</v>
      </c>
      <c r="F51" s="74">
        <v>5376.9</v>
      </c>
      <c r="G51" s="72"/>
      <c r="H51" s="398">
        <f>F51</f>
        <v>5376.9</v>
      </c>
    </row>
    <row r="52" spans="1:8" s="105" customFormat="1" ht="21" customHeight="1">
      <c r="A52" s="74">
        <v>364700</v>
      </c>
      <c r="B52" s="72">
        <v>0</v>
      </c>
      <c r="C52" s="225" t="s">
        <v>29</v>
      </c>
      <c r="D52" s="226"/>
      <c r="E52" s="106">
        <v>541000</v>
      </c>
      <c r="F52" s="228">
        <v>0</v>
      </c>
      <c r="G52" s="72"/>
      <c r="H52" s="398">
        <f>B51</f>
        <v>14765.34</v>
      </c>
    </row>
    <row r="53" spans="1:8" s="105" customFormat="1" ht="20.25" customHeight="1">
      <c r="A53" s="74">
        <v>4363000</v>
      </c>
      <c r="B53" s="72">
        <v>0</v>
      </c>
      <c r="C53" s="225" t="s">
        <v>30</v>
      </c>
      <c r="D53" s="226"/>
      <c r="E53" s="106">
        <v>542000</v>
      </c>
      <c r="F53" s="228">
        <v>0</v>
      </c>
      <c r="G53" s="72"/>
      <c r="H53" s="398">
        <f>SUM(H51:H52)</f>
        <v>20142.239999999998</v>
      </c>
    </row>
    <row r="54" spans="1:7" s="105" customFormat="1" ht="21" customHeight="1">
      <c r="A54" s="74">
        <v>25000</v>
      </c>
      <c r="B54" s="72">
        <v>0</v>
      </c>
      <c r="C54" s="225" t="s">
        <v>173</v>
      </c>
      <c r="D54" s="226"/>
      <c r="E54" s="106">
        <v>550000</v>
      </c>
      <c r="F54" s="74">
        <v>0</v>
      </c>
      <c r="G54" s="72"/>
    </row>
    <row r="55" spans="1:8" s="105" customFormat="1" ht="21" customHeight="1">
      <c r="A55" s="74">
        <v>1290200</v>
      </c>
      <c r="B55" s="72">
        <v>66820</v>
      </c>
      <c r="C55" s="225" t="s">
        <v>31</v>
      </c>
      <c r="D55" s="226"/>
      <c r="E55" s="106">
        <v>560000</v>
      </c>
      <c r="F55" s="228">
        <v>66820</v>
      </c>
      <c r="G55" s="72"/>
      <c r="H55" s="105">
        <v>590275.9</v>
      </c>
    </row>
    <row r="56" spans="1:8" s="288" customFormat="1" ht="22.5" customHeight="1" thickBot="1">
      <c r="A56" s="271">
        <f>SUM(A43:A55)</f>
        <v>18850000</v>
      </c>
      <c r="B56" s="271">
        <f>SUM(B44:B55)</f>
        <v>749081.34</v>
      </c>
      <c r="C56" s="284"/>
      <c r="D56" s="285"/>
      <c r="E56" s="286"/>
      <c r="F56" s="271">
        <f>SUM(F44:F55)</f>
        <v>590275.9</v>
      </c>
      <c r="G56" s="287"/>
      <c r="H56" s="288">
        <v>329715.44</v>
      </c>
    </row>
    <row r="57" spans="1:8" s="105" customFormat="1" ht="7.5" customHeight="1" thickTop="1">
      <c r="A57" s="74"/>
      <c r="B57" s="217"/>
      <c r="C57" s="229"/>
      <c r="D57" s="226"/>
      <c r="E57" s="106"/>
      <c r="F57" s="74"/>
      <c r="G57" s="72"/>
      <c r="H57" s="105">
        <f>SUM(H55:H56)</f>
        <v>919991.3400000001</v>
      </c>
    </row>
    <row r="58" spans="1:7" s="105" customFormat="1" ht="20.25" customHeight="1">
      <c r="A58" s="74"/>
      <c r="B58" s="217">
        <v>54927.59</v>
      </c>
      <c r="C58" s="229" t="s">
        <v>99</v>
      </c>
      <c r="D58" s="226"/>
      <c r="E58" s="106">
        <v>230000</v>
      </c>
      <c r="F58" s="74">
        <v>16375.59</v>
      </c>
      <c r="G58" s="72"/>
    </row>
    <row r="59" spans="1:9" s="105" customFormat="1" ht="20.25" customHeight="1">
      <c r="A59" s="74"/>
      <c r="B59" s="217">
        <v>10000</v>
      </c>
      <c r="C59" s="70" t="s">
        <v>305</v>
      </c>
      <c r="D59" s="226"/>
      <c r="E59" s="106"/>
      <c r="F59" s="74">
        <v>10000</v>
      </c>
      <c r="G59" s="72"/>
      <c r="H59" s="398">
        <f>F58</f>
        <v>16375.59</v>
      </c>
      <c r="I59" s="398">
        <f>F62</f>
        <v>38000</v>
      </c>
    </row>
    <row r="60" spans="1:9" s="105" customFormat="1" ht="21" customHeight="1">
      <c r="A60" s="74"/>
      <c r="B60" s="217">
        <v>472000</v>
      </c>
      <c r="C60" s="70" t="s">
        <v>362</v>
      </c>
      <c r="D60" s="226"/>
      <c r="E60" s="106"/>
      <c r="F60" s="74">
        <v>472000</v>
      </c>
      <c r="G60" s="72"/>
      <c r="H60" s="398">
        <f>B58</f>
        <v>54927.59</v>
      </c>
      <c r="I60" s="398">
        <f>B62</f>
        <v>467968.42</v>
      </c>
    </row>
    <row r="61" spans="1:9" s="105" customFormat="1" ht="24" customHeight="1">
      <c r="A61" s="74"/>
      <c r="B61" s="217">
        <v>143640</v>
      </c>
      <c r="C61" s="229" t="s">
        <v>322</v>
      </c>
      <c r="D61" s="226"/>
      <c r="E61" s="106">
        <v>210300</v>
      </c>
      <c r="F61" s="74">
        <v>0</v>
      </c>
      <c r="G61" s="72"/>
      <c r="H61" s="398">
        <f>SUM(H59:H60)</f>
        <v>71303.18</v>
      </c>
      <c r="I61" s="398">
        <f>SUM(I59:I60)</f>
        <v>505968.42</v>
      </c>
    </row>
    <row r="62" spans="1:7" s="105" customFormat="1" ht="20.25" customHeight="1">
      <c r="A62" s="74"/>
      <c r="B62" s="217">
        <v>467968.42</v>
      </c>
      <c r="C62" s="192" t="s">
        <v>323</v>
      </c>
      <c r="D62" s="226"/>
      <c r="E62" s="106">
        <v>210402</v>
      </c>
      <c r="F62" s="74">
        <v>38000</v>
      </c>
      <c r="G62" s="72"/>
    </row>
    <row r="63" spans="1:7" s="105" customFormat="1" ht="19.5" customHeight="1">
      <c r="A63" s="74"/>
      <c r="B63" s="217">
        <v>498196</v>
      </c>
      <c r="C63" s="229" t="s">
        <v>324</v>
      </c>
      <c r="D63" s="226"/>
      <c r="E63" s="106"/>
      <c r="F63" s="74">
        <v>0</v>
      </c>
      <c r="G63" s="72"/>
    </row>
    <row r="64" spans="1:7" s="105" customFormat="1" ht="19.5" customHeight="1">
      <c r="A64" s="74"/>
      <c r="B64" s="217">
        <v>15046.73</v>
      </c>
      <c r="C64" s="229" t="s">
        <v>100</v>
      </c>
      <c r="D64" s="226"/>
      <c r="E64" s="106"/>
      <c r="F64" s="74">
        <v>15046.73</v>
      </c>
      <c r="G64" s="72"/>
    </row>
    <row r="65" spans="1:9" s="105" customFormat="1" ht="24" customHeight="1">
      <c r="A65" s="74"/>
      <c r="B65" s="217">
        <v>1610000</v>
      </c>
      <c r="C65" s="229" t="s">
        <v>363</v>
      </c>
      <c r="D65" s="226"/>
      <c r="E65" s="106">
        <v>441000</v>
      </c>
      <c r="F65" s="74">
        <v>1610000</v>
      </c>
      <c r="G65" s="72"/>
      <c r="H65" s="72">
        <f>'รายรับ '!F247</f>
        <v>5404106.16</v>
      </c>
      <c r="I65" s="72">
        <f>'รายรับ '!F263</f>
        <v>3431733.14</v>
      </c>
    </row>
    <row r="66" spans="1:9" s="105" customFormat="1" ht="20.25" customHeight="1">
      <c r="A66" s="228"/>
      <c r="B66" s="283">
        <f>SUM(B58:B65)</f>
        <v>3271778.74</v>
      </c>
      <c r="C66" s="230"/>
      <c r="D66" s="231"/>
      <c r="E66" s="106"/>
      <c r="F66" s="291">
        <f>SUM(F58:F65)</f>
        <v>2161422.3200000003</v>
      </c>
      <c r="G66" s="72"/>
      <c r="H66" s="72">
        <f>'รายรับ '!F263</f>
        <v>3431733.14</v>
      </c>
      <c r="I66" s="398">
        <f>F67</f>
        <v>2751698.22</v>
      </c>
    </row>
    <row r="67" spans="1:9" s="288" customFormat="1" ht="25.5" customHeight="1">
      <c r="A67" s="283">
        <f>SUM(A56)</f>
        <v>18850000</v>
      </c>
      <c r="B67" s="289">
        <f>B56+B66</f>
        <v>4020860.08</v>
      </c>
      <c r="C67" s="475" t="s">
        <v>32</v>
      </c>
      <c r="D67" s="476"/>
      <c r="E67" s="286"/>
      <c r="F67" s="290">
        <f>+F66+F56</f>
        <v>2751698.22</v>
      </c>
      <c r="G67" s="287"/>
      <c r="H67" s="287">
        <f>F67</f>
        <v>2751698.22</v>
      </c>
      <c r="I67" s="399">
        <f>I65-I66</f>
        <v>680034.9199999999</v>
      </c>
    </row>
    <row r="68" spans="1:8" s="105" customFormat="1" ht="21.75" customHeight="1">
      <c r="A68" s="74"/>
      <c r="B68" s="282">
        <f>'รายรับ '!B263-'รายจ่าย '!B67</f>
        <v>425659.5999999996</v>
      </c>
      <c r="C68" s="477" t="s">
        <v>331</v>
      </c>
      <c r="D68" s="478"/>
      <c r="E68" s="106"/>
      <c r="F68" s="308">
        <f>I67</f>
        <v>680034.9199999999</v>
      </c>
      <c r="G68" s="72"/>
      <c r="H68" s="72">
        <f>H65+H66-H67</f>
        <v>6084141.08</v>
      </c>
    </row>
    <row r="69" spans="1:8" s="105" customFormat="1" ht="21" customHeight="1">
      <c r="A69" s="74"/>
      <c r="B69" s="72"/>
      <c r="C69" s="233"/>
      <c r="D69" s="232"/>
      <c r="E69" s="106"/>
      <c r="F69" s="74"/>
      <c r="G69" s="72"/>
      <c r="H69" s="72"/>
    </row>
    <row r="70" spans="1:9" s="105" customFormat="1" ht="26.25" thickBot="1">
      <c r="A70" s="74"/>
      <c r="B70" s="293">
        <f>'รายรับ '!B247+'รายรับ '!B263-'รายจ่าย '!B67</f>
        <v>6255051.08</v>
      </c>
      <c r="C70" s="477" t="s">
        <v>33</v>
      </c>
      <c r="D70" s="478"/>
      <c r="E70" s="106"/>
      <c r="F70" s="293">
        <f>'รายรับ '!F247+'รายรับ '!F263-'รายจ่าย '!F67</f>
        <v>6084141.08</v>
      </c>
      <c r="G70" s="72"/>
      <c r="I70" s="72">
        <v>5411402.16</v>
      </c>
    </row>
    <row r="71" spans="1:9" s="105" customFormat="1" ht="24.75" thickTop="1">
      <c r="A71" s="217"/>
      <c r="B71" s="217"/>
      <c r="C71" s="235"/>
      <c r="D71" s="235"/>
      <c r="E71" s="106"/>
      <c r="F71" s="217"/>
      <c r="G71" s="72"/>
      <c r="I71" s="72">
        <v>5404106.16</v>
      </c>
    </row>
    <row r="72" spans="1:9" ht="15" customHeight="1">
      <c r="A72" s="59"/>
      <c r="C72" s="138"/>
      <c r="D72" s="139"/>
      <c r="F72" s="59"/>
      <c r="I72" s="397">
        <f>I70-I71</f>
        <v>7296</v>
      </c>
    </row>
    <row r="73" spans="1:7" s="105" customFormat="1" ht="24" customHeight="1">
      <c r="A73" s="72" t="s">
        <v>158</v>
      </c>
      <c r="B73" s="72"/>
      <c r="C73" s="105" t="s">
        <v>159</v>
      </c>
      <c r="E73" s="234" t="s">
        <v>160</v>
      </c>
      <c r="F73" s="72"/>
      <c r="G73" s="72"/>
    </row>
    <row r="74" spans="1:7" s="105" customFormat="1" ht="24.75" customHeight="1">
      <c r="A74" s="470" t="s">
        <v>332</v>
      </c>
      <c r="B74" s="470"/>
      <c r="C74" s="470" t="s">
        <v>333</v>
      </c>
      <c r="D74" s="470"/>
      <c r="E74" s="470" t="s">
        <v>334</v>
      </c>
      <c r="F74" s="471"/>
      <c r="G74" s="471"/>
    </row>
    <row r="75" spans="1:7" s="105" customFormat="1" ht="24" customHeight="1">
      <c r="A75" s="472" t="s">
        <v>161</v>
      </c>
      <c r="B75" s="472"/>
      <c r="C75" s="472" t="s">
        <v>34</v>
      </c>
      <c r="D75" s="472"/>
      <c r="E75" s="472" t="s">
        <v>335</v>
      </c>
      <c r="F75" s="472"/>
      <c r="G75" s="472"/>
    </row>
    <row r="76" spans="1:6" ht="19.5" customHeight="1">
      <c r="A76" s="469"/>
      <c r="B76" s="469"/>
      <c r="C76" s="469"/>
      <c r="D76" s="469"/>
      <c r="E76" s="469"/>
      <c r="F76" s="469"/>
    </row>
    <row r="77" ht="17.25" customHeight="1"/>
    <row r="80" spans="1:8" ht="24">
      <c r="A80" s="473" t="s">
        <v>7</v>
      </c>
      <c r="B80" s="474"/>
      <c r="C80" s="218"/>
      <c r="D80" s="219"/>
      <c r="E80" s="108" t="s">
        <v>4</v>
      </c>
      <c r="F80" s="110" t="s">
        <v>6</v>
      </c>
      <c r="G80" s="72"/>
      <c r="H80" s="61" t="s">
        <v>361</v>
      </c>
    </row>
    <row r="81" spans="1:7" ht="24">
      <c r="A81" s="110" t="s">
        <v>0</v>
      </c>
      <c r="B81" s="110" t="s">
        <v>2</v>
      </c>
      <c r="C81" s="220" t="s">
        <v>3</v>
      </c>
      <c r="D81" s="107"/>
      <c r="E81" s="108" t="s">
        <v>5</v>
      </c>
      <c r="F81" s="110" t="s">
        <v>2</v>
      </c>
      <c r="G81" s="72"/>
    </row>
    <row r="82" spans="1:7" ht="24">
      <c r="A82" s="114" t="s">
        <v>1</v>
      </c>
      <c r="B82" s="114" t="s">
        <v>1</v>
      </c>
      <c r="C82" s="221"/>
      <c r="D82" s="111"/>
      <c r="E82" s="112"/>
      <c r="F82" s="114" t="s">
        <v>1</v>
      </c>
      <c r="G82" s="72"/>
    </row>
    <row r="83" spans="1:7" ht="24">
      <c r="A83" s="222"/>
      <c r="B83" s="72"/>
      <c r="C83" s="223" t="s">
        <v>18</v>
      </c>
      <c r="D83" s="224"/>
      <c r="E83" s="106"/>
      <c r="F83" s="222"/>
      <c r="G83" s="72"/>
    </row>
    <row r="84" spans="1:7" ht="24">
      <c r="A84" s="74">
        <v>2400000</v>
      </c>
      <c r="B84" s="72">
        <f>F84</f>
        <v>0</v>
      </c>
      <c r="C84" s="225" t="s">
        <v>21</v>
      </c>
      <c r="D84" s="226"/>
      <c r="E84" s="227">
        <v>510000</v>
      </c>
      <c r="F84" s="74">
        <v>0</v>
      </c>
      <c r="G84" s="72"/>
    </row>
    <row r="85" spans="1:7" ht="24">
      <c r="A85" s="74">
        <v>2372880</v>
      </c>
      <c r="B85" s="72">
        <v>158782</v>
      </c>
      <c r="C85" s="225" t="s">
        <v>22</v>
      </c>
      <c r="D85" s="226"/>
      <c r="E85" s="106">
        <v>520000</v>
      </c>
      <c r="F85" s="74">
        <v>158782</v>
      </c>
      <c r="G85" s="72"/>
    </row>
    <row r="86" spans="1:7" ht="24">
      <c r="A86" s="74">
        <v>246240</v>
      </c>
      <c r="B86" s="72">
        <v>20760</v>
      </c>
      <c r="C86" s="225" t="s">
        <v>23</v>
      </c>
      <c r="D86" s="226"/>
      <c r="E86" s="106"/>
      <c r="F86" s="74">
        <v>20760</v>
      </c>
      <c r="G86" s="72"/>
    </row>
    <row r="87" spans="1:7" ht="24">
      <c r="A87" s="74">
        <v>1500960</v>
      </c>
      <c r="B87" s="72">
        <v>56160</v>
      </c>
      <c r="C87" s="225" t="s">
        <v>24</v>
      </c>
      <c r="D87" s="226"/>
      <c r="E87" s="106"/>
      <c r="F87" s="74">
        <v>56160</v>
      </c>
      <c r="G87" s="72"/>
    </row>
    <row r="88" spans="1:7" ht="24">
      <c r="A88" s="74">
        <v>1842890</v>
      </c>
      <c r="B88" s="72">
        <v>83625</v>
      </c>
      <c r="C88" s="225" t="s">
        <v>25</v>
      </c>
      <c r="D88" s="226"/>
      <c r="E88" s="106">
        <v>531000</v>
      </c>
      <c r="F88" s="74">
        <v>83625</v>
      </c>
      <c r="G88" s="72"/>
    </row>
    <row r="89" spans="1:7" ht="24">
      <c r="A89" s="74">
        <v>2383900</v>
      </c>
      <c r="B89" s="72">
        <v>1000</v>
      </c>
      <c r="C89" s="225" t="s">
        <v>26</v>
      </c>
      <c r="D89" s="226"/>
      <c r="E89" s="106">
        <v>532000</v>
      </c>
      <c r="F89" s="74">
        <v>1000</v>
      </c>
      <c r="G89" s="72"/>
    </row>
    <row r="90" spans="1:7" ht="24">
      <c r="A90" s="74">
        <v>1941340</v>
      </c>
      <c r="B90" s="72">
        <v>0</v>
      </c>
      <c r="C90" s="225" t="s">
        <v>27</v>
      </c>
      <c r="D90" s="226"/>
      <c r="E90" s="106">
        <v>533000</v>
      </c>
      <c r="F90" s="74">
        <v>0</v>
      </c>
      <c r="G90" s="72"/>
    </row>
    <row r="91" spans="1:7" ht="24">
      <c r="A91" s="74">
        <v>118890</v>
      </c>
      <c r="B91" s="72">
        <v>9388.44</v>
      </c>
      <c r="C91" s="225" t="s">
        <v>28</v>
      </c>
      <c r="D91" s="226"/>
      <c r="E91" s="106">
        <v>534000</v>
      </c>
      <c r="F91" s="74">
        <v>9388.44</v>
      </c>
      <c r="G91" s="72"/>
    </row>
    <row r="92" spans="1:7" ht="24">
      <c r="A92" s="74">
        <v>364700</v>
      </c>
      <c r="B92" s="72">
        <v>0</v>
      </c>
      <c r="C92" s="225" t="s">
        <v>29</v>
      </c>
      <c r="D92" s="226"/>
      <c r="E92" s="106">
        <v>541000</v>
      </c>
      <c r="F92" s="228">
        <v>0</v>
      </c>
      <c r="G92" s="72"/>
    </row>
    <row r="93" spans="1:7" ht="24">
      <c r="A93" s="74">
        <v>4363000</v>
      </c>
      <c r="B93" s="72">
        <v>0</v>
      </c>
      <c r="C93" s="225" t="s">
        <v>30</v>
      </c>
      <c r="D93" s="226"/>
      <c r="E93" s="106">
        <v>542000</v>
      </c>
      <c r="F93" s="228">
        <v>0</v>
      </c>
      <c r="G93" s="72"/>
    </row>
    <row r="94" spans="1:7" ht="24">
      <c r="A94" s="74">
        <v>25000</v>
      </c>
      <c r="B94" s="72">
        <v>0</v>
      </c>
      <c r="C94" s="225" t="s">
        <v>173</v>
      </c>
      <c r="D94" s="226"/>
      <c r="E94" s="106">
        <v>550000</v>
      </c>
      <c r="F94" s="74">
        <v>0</v>
      </c>
      <c r="G94" s="72"/>
    </row>
    <row r="95" spans="1:7" ht="24">
      <c r="A95" s="74">
        <v>1290200</v>
      </c>
      <c r="B95" s="72">
        <v>0</v>
      </c>
      <c r="C95" s="225" t="s">
        <v>31</v>
      </c>
      <c r="D95" s="226"/>
      <c r="E95" s="106">
        <v>560000</v>
      </c>
      <c r="F95" s="228">
        <v>0</v>
      </c>
      <c r="G95" s="72"/>
    </row>
    <row r="96" spans="1:7" ht="24" thickBot="1">
      <c r="A96" s="271">
        <f>SUM(A83:A95)</f>
        <v>18850000</v>
      </c>
      <c r="B96" s="271">
        <f>SUM(B84:B95)</f>
        <v>329715.44</v>
      </c>
      <c r="C96" s="284"/>
      <c r="D96" s="285"/>
      <c r="E96" s="286"/>
      <c r="F96" s="271">
        <f>SUM(F84:F95)</f>
        <v>329715.44</v>
      </c>
      <c r="G96" s="287"/>
    </row>
    <row r="97" spans="1:7" ht="24.75" thickTop="1">
      <c r="A97" s="74"/>
      <c r="B97" s="217"/>
      <c r="C97" s="229"/>
      <c r="D97" s="226"/>
      <c r="E97" s="106"/>
      <c r="F97" s="74"/>
      <c r="G97" s="72"/>
    </row>
    <row r="98" spans="1:7" ht="24">
      <c r="A98" s="74"/>
      <c r="B98" s="217">
        <v>38552</v>
      </c>
      <c r="C98" s="229" t="s">
        <v>99</v>
      </c>
      <c r="D98" s="226"/>
      <c r="E98" s="106">
        <v>230000</v>
      </c>
      <c r="F98" s="74">
        <v>38552</v>
      </c>
      <c r="G98" s="72"/>
    </row>
    <row r="99" spans="1:7" ht="24">
      <c r="A99" s="74"/>
      <c r="B99" s="217">
        <v>0</v>
      </c>
      <c r="C99" s="229" t="s">
        <v>305</v>
      </c>
      <c r="D99" s="226"/>
      <c r="E99" s="106"/>
      <c r="F99" s="74">
        <v>0</v>
      </c>
      <c r="G99" s="72"/>
    </row>
    <row r="100" spans="1:7" ht="24">
      <c r="A100" s="74"/>
      <c r="B100" s="217">
        <v>0</v>
      </c>
      <c r="C100" s="229" t="s">
        <v>19</v>
      </c>
      <c r="D100" s="226"/>
      <c r="E100" s="106">
        <v>150200</v>
      </c>
      <c r="F100" s="74">
        <v>0</v>
      </c>
      <c r="G100" s="72"/>
    </row>
    <row r="101" spans="1:7" ht="24">
      <c r="A101" s="74"/>
      <c r="B101" s="217">
        <v>143640</v>
      </c>
      <c r="C101" s="229" t="s">
        <v>322</v>
      </c>
      <c r="D101" s="226"/>
      <c r="E101" s="106">
        <v>210300</v>
      </c>
      <c r="F101" s="74">
        <v>143640</v>
      </c>
      <c r="G101" s="72"/>
    </row>
    <row r="102" spans="1:7" ht="24">
      <c r="A102" s="74"/>
      <c r="B102" s="217">
        <v>429968.42</v>
      </c>
      <c r="C102" s="192" t="s">
        <v>323</v>
      </c>
      <c r="D102" s="226"/>
      <c r="E102" s="106">
        <v>210402</v>
      </c>
      <c r="F102" s="74">
        <v>429968.42</v>
      </c>
      <c r="G102" s="72"/>
    </row>
    <row r="103" spans="1:7" ht="24">
      <c r="A103" s="74"/>
      <c r="B103" s="217">
        <v>498196</v>
      </c>
      <c r="C103" s="229" t="s">
        <v>324</v>
      </c>
      <c r="D103" s="226"/>
      <c r="E103" s="106"/>
      <c r="F103" s="74">
        <v>498196</v>
      </c>
      <c r="G103" s="72"/>
    </row>
    <row r="104" spans="1:7" ht="24">
      <c r="A104" s="74"/>
      <c r="B104" s="217">
        <v>0</v>
      </c>
      <c r="C104" s="229" t="s">
        <v>325</v>
      </c>
      <c r="D104" s="226"/>
      <c r="E104" s="106">
        <v>441000</v>
      </c>
      <c r="F104" s="74">
        <v>0</v>
      </c>
      <c r="G104" s="72"/>
    </row>
    <row r="105" spans="1:7" ht="25.5">
      <c r="A105" s="228"/>
      <c r="B105" s="283">
        <f>SUM(B98:B104)</f>
        <v>1110356.42</v>
      </c>
      <c r="C105" s="230"/>
      <c r="D105" s="231"/>
      <c r="E105" s="106"/>
      <c r="F105" s="291">
        <f>SUM(F98:F104)</f>
        <v>1110356.42</v>
      </c>
      <c r="G105" s="72"/>
    </row>
    <row r="106" spans="1:7" ht="25.5">
      <c r="A106" s="283">
        <f>SUM(A96)</f>
        <v>18850000</v>
      </c>
      <c r="B106" s="289">
        <f>B96+B105</f>
        <v>1440071.8599999999</v>
      </c>
      <c r="C106" s="475" t="s">
        <v>32</v>
      </c>
      <c r="D106" s="476"/>
      <c r="E106" s="286"/>
      <c r="F106" s="290">
        <f>+F105+F96</f>
        <v>1440071.8599999999</v>
      </c>
      <c r="G106" s="287"/>
    </row>
    <row r="107" spans="1:7" ht="24">
      <c r="A107" s="74"/>
      <c r="B107" s="282">
        <f>'รายรับ '!B302-'รายจ่าย '!F106</f>
        <v>-1440071.8599999999</v>
      </c>
      <c r="C107" s="477" t="s">
        <v>331</v>
      </c>
      <c r="D107" s="478"/>
      <c r="E107" s="106"/>
      <c r="F107" s="308">
        <f>I106</f>
        <v>0</v>
      </c>
      <c r="G107" s="72"/>
    </row>
    <row r="108" spans="1:7" ht="24">
      <c r="A108" s="74"/>
      <c r="B108" s="72"/>
      <c r="C108" s="233"/>
      <c r="D108" s="232"/>
      <c r="E108" s="106"/>
      <c r="F108" s="74"/>
      <c r="G108" s="72"/>
    </row>
    <row r="109" spans="1:7" ht="26.25" thickBot="1">
      <c r="A109" s="74"/>
      <c r="B109" s="293">
        <f>'รายรับ '!B286+'รายรับ '!B302-'รายจ่าย '!B106</f>
        <v>-1440071.8599999999</v>
      </c>
      <c r="C109" s="477" t="s">
        <v>33</v>
      </c>
      <c r="D109" s="478"/>
      <c r="E109" s="106"/>
      <c r="F109" s="293">
        <f>'รายรับ '!F286+'รายรับ '!F302-'รายจ่าย '!F106</f>
        <v>-1440071.8599999999</v>
      </c>
      <c r="G109" s="72"/>
    </row>
    <row r="110" spans="1:7" ht="24.75" thickTop="1">
      <c r="A110" s="217"/>
      <c r="B110" s="217"/>
      <c r="C110" s="235"/>
      <c r="D110" s="235"/>
      <c r="E110" s="106"/>
      <c r="F110" s="217"/>
      <c r="G110" s="72"/>
    </row>
    <row r="111" spans="1:6" ht="21.75">
      <c r="A111" s="59"/>
      <c r="C111" s="138"/>
      <c r="D111" s="139"/>
      <c r="F111" s="59"/>
    </row>
    <row r="112" spans="1:7" ht="24">
      <c r="A112" s="72" t="s">
        <v>158</v>
      </c>
      <c r="B112" s="72"/>
      <c r="C112" s="105" t="s">
        <v>159</v>
      </c>
      <c r="D112" s="105"/>
      <c r="E112" s="234" t="s">
        <v>160</v>
      </c>
      <c r="F112" s="72"/>
      <c r="G112" s="72"/>
    </row>
    <row r="113" spans="1:7" ht="24">
      <c r="A113" s="470" t="s">
        <v>332</v>
      </c>
      <c r="B113" s="470"/>
      <c r="C113" s="470" t="s">
        <v>333</v>
      </c>
      <c r="D113" s="470"/>
      <c r="E113" s="470" t="s">
        <v>334</v>
      </c>
      <c r="F113" s="471"/>
      <c r="G113" s="471"/>
    </row>
    <row r="114" spans="1:7" ht="23.25">
      <c r="A114" s="472" t="s">
        <v>161</v>
      </c>
      <c r="B114" s="472"/>
      <c r="C114" s="472" t="s">
        <v>34</v>
      </c>
      <c r="D114" s="472"/>
      <c r="E114" s="472" t="s">
        <v>335</v>
      </c>
      <c r="F114" s="472"/>
      <c r="G114" s="472"/>
    </row>
    <row r="115" spans="1:6" ht="21.75">
      <c r="A115" s="469"/>
      <c r="B115" s="469"/>
      <c r="C115" s="469"/>
      <c r="D115" s="469"/>
      <c r="E115" s="469"/>
      <c r="F115" s="469"/>
    </row>
  </sheetData>
  <mergeCells count="39">
    <mergeCell ref="A37:B37"/>
    <mergeCell ref="C37:D37"/>
    <mergeCell ref="E37:F37"/>
    <mergeCell ref="A35:B35"/>
    <mergeCell ref="C35:D35"/>
    <mergeCell ref="E35:G35"/>
    <mergeCell ref="A36:B36"/>
    <mergeCell ref="C36:D36"/>
    <mergeCell ref="E36:G36"/>
    <mergeCell ref="A2:B2"/>
    <mergeCell ref="C29:D29"/>
    <mergeCell ref="C30:D30"/>
    <mergeCell ref="C32:D32"/>
    <mergeCell ref="E74:G74"/>
    <mergeCell ref="E75:G75"/>
    <mergeCell ref="A40:B40"/>
    <mergeCell ref="C67:D67"/>
    <mergeCell ref="C70:D70"/>
    <mergeCell ref="A74:B74"/>
    <mergeCell ref="C74:D74"/>
    <mergeCell ref="C68:D68"/>
    <mergeCell ref="A76:B76"/>
    <mergeCell ref="C76:D76"/>
    <mergeCell ref="E76:F76"/>
    <mergeCell ref="A75:B75"/>
    <mergeCell ref="C75:D75"/>
    <mergeCell ref="A80:B80"/>
    <mergeCell ref="C106:D106"/>
    <mergeCell ref="C107:D107"/>
    <mergeCell ref="C109:D109"/>
    <mergeCell ref="A115:B115"/>
    <mergeCell ref="C115:D115"/>
    <mergeCell ref="E115:F115"/>
    <mergeCell ref="A113:B113"/>
    <mergeCell ref="C113:D113"/>
    <mergeCell ref="E113:G113"/>
    <mergeCell ref="A114:B114"/>
    <mergeCell ref="C114:D114"/>
    <mergeCell ref="E114:G114"/>
  </mergeCells>
  <printOptions/>
  <pageMargins left="0.15748031496062992" right="0" top="0.2" bottom="0.1968503937007874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2"/>
  <dimension ref="A2:G87"/>
  <sheetViews>
    <sheetView workbookViewId="0" topLeftCell="A1">
      <selection activeCell="A35" sqref="A35:IV35"/>
    </sheetView>
  </sheetViews>
  <sheetFormatPr defaultColWidth="9.140625" defaultRowHeight="21.75"/>
  <cols>
    <col min="1" max="1" width="4.140625" style="61" customWidth="1"/>
    <col min="2" max="2" width="12.140625" style="61" customWidth="1"/>
    <col min="3" max="3" width="17.421875" style="61" customWidth="1"/>
    <col min="4" max="4" width="33.140625" style="61" customWidth="1"/>
    <col min="5" max="5" width="12.00390625" style="62" customWidth="1"/>
    <col min="6" max="6" width="13.421875" style="58" customWidth="1"/>
    <col min="7" max="7" width="12.7109375" style="58" customWidth="1"/>
    <col min="8" max="8" width="11.00390625" style="61" bestFit="1" customWidth="1"/>
    <col min="9" max="16384" width="9.140625" style="61" customWidth="1"/>
  </cols>
  <sheetData>
    <row r="2" spans="4:7" ht="26.25">
      <c r="D2" s="76" t="s">
        <v>64</v>
      </c>
      <c r="F2" s="305" t="s">
        <v>229</v>
      </c>
      <c r="G2" s="77"/>
    </row>
    <row r="3" spans="6:7" ht="21.75">
      <c r="F3" s="305" t="s">
        <v>230</v>
      </c>
      <c r="G3" s="78"/>
    </row>
    <row r="4" ht="21.75">
      <c r="B4" s="79" t="s">
        <v>65</v>
      </c>
    </row>
    <row r="5" spans="1:7" ht="21.75">
      <c r="A5" s="535" t="s">
        <v>3</v>
      </c>
      <c r="B5" s="536"/>
      <c r="C5" s="536"/>
      <c r="D5" s="537"/>
      <c r="E5" s="80" t="s">
        <v>66</v>
      </c>
      <c r="F5" s="81" t="s">
        <v>60</v>
      </c>
      <c r="G5" s="81" t="s">
        <v>61</v>
      </c>
    </row>
    <row r="6" spans="1:7" ht="21.75">
      <c r="A6" s="86" t="s">
        <v>67</v>
      </c>
      <c r="B6" s="87" t="s">
        <v>97</v>
      </c>
      <c r="C6" s="87"/>
      <c r="D6" s="68"/>
      <c r="E6" s="84">
        <v>110201</v>
      </c>
      <c r="F6" s="59">
        <v>58523.25</v>
      </c>
      <c r="G6" s="54"/>
    </row>
    <row r="7" spans="1:7" ht="21.75">
      <c r="A7" s="70"/>
      <c r="B7" s="306" t="s">
        <v>208</v>
      </c>
      <c r="C7" s="87"/>
      <c r="D7" s="68"/>
      <c r="E7" s="84">
        <v>110201</v>
      </c>
      <c r="F7" s="54">
        <v>35683.35</v>
      </c>
      <c r="G7" s="54"/>
    </row>
    <row r="8" spans="1:7" ht="21.75">
      <c r="A8" s="70"/>
      <c r="B8" s="306" t="s">
        <v>195</v>
      </c>
      <c r="C8" s="87"/>
      <c r="D8" s="68"/>
      <c r="E8" s="84">
        <f>+E7</f>
        <v>110201</v>
      </c>
      <c r="F8" s="59">
        <v>0</v>
      </c>
      <c r="G8" s="54"/>
    </row>
    <row r="9" spans="1:7" ht="21.75">
      <c r="A9" s="86"/>
      <c r="B9" s="87" t="s">
        <v>113</v>
      </c>
      <c r="C9" s="87"/>
      <c r="D9" s="68"/>
      <c r="E9" s="84">
        <v>110202</v>
      </c>
      <c r="F9" s="59">
        <v>11990.11</v>
      </c>
      <c r="G9" s="54"/>
    </row>
    <row r="10" spans="1:7" ht="21.75">
      <c r="A10" s="86"/>
      <c r="B10" s="87" t="s">
        <v>110</v>
      </c>
      <c r="C10" s="87"/>
      <c r="D10" s="68"/>
      <c r="E10" s="84">
        <v>110203</v>
      </c>
      <c r="F10" s="59">
        <v>1258367.23</v>
      </c>
      <c r="G10" s="54"/>
    </row>
    <row r="11" spans="1:7" ht="21.75">
      <c r="A11" s="86"/>
      <c r="B11" s="88" t="s">
        <v>69</v>
      </c>
      <c r="C11" s="326" t="s">
        <v>209</v>
      </c>
      <c r="D11" s="68"/>
      <c r="E11" s="84">
        <v>110201</v>
      </c>
      <c r="F11" s="59"/>
      <c r="G11" s="54">
        <v>34172</v>
      </c>
    </row>
    <row r="12" spans="1:7" ht="21.75">
      <c r="A12" s="70"/>
      <c r="C12" s="87" t="s">
        <v>70</v>
      </c>
      <c r="D12" s="68"/>
      <c r="E12" s="84">
        <v>400000</v>
      </c>
      <c r="G12" s="54">
        <v>1330391.94</v>
      </c>
    </row>
    <row r="13" spans="1:7" ht="21.75">
      <c r="A13" s="70"/>
      <c r="B13" s="88"/>
      <c r="C13" s="87" t="s">
        <v>108</v>
      </c>
      <c r="D13" s="68"/>
      <c r="E13" s="84">
        <v>230105</v>
      </c>
      <c r="G13" s="158">
        <v>0</v>
      </c>
    </row>
    <row r="14" spans="1:7" ht="21.75">
      <c r="A14" s="70"/>
      <c r="B14" s="88"/>
      <c r="C14" s="87" t="s">
        <v>109</v>
      </c>
      <c r="D14" s="68"/>
      <c r="E14" s="84">
        <v>230106</v>
      </c>
      <c r="G14" s="54">
        <v>0</v>
      </c>
    </row>
    <row r="15" spans="1:7" ht="21.75">
      <c r="A15" s="70"/>
      <c r="B15" s="87"/>
      <c r="C15" s="306" t="s">
        <v>71</v>
      </c>
      <c r="D15" s="68"/>
      <c r="E15" s="89">
        <v>230109</v>
      </c>
      <c r="G15" s="54">
        <v>0</v>
      </c>
    </row>
    <row r="16" spans="1:7" ht="21.75">
      <c r="A16" s="70"/>
      <c r="B16" s="87"/>
      <c r="C16" s="306"/>
      <c r="D16" s="68"/>
      <c r="E16" s="84"/>
      <c r="G16" s="54"/>
    </row>
    <row r="17" spans="1:7" ht="21.75">
      <c r="A17" s="70"/>
      <c r="B17" s="87"/>
      <c r="C17" s="87"/>
      <c r="D17" s="68"/>
      <c r="E17" s="84"/>
      <c r="G17" s="54"/>
    </row>
    <row r="18" spans="1:7" ht="21.75">
      <c r="A18" s="70"/>
      <c r="B18" s="87"/>
      <c r="C18" s="87"/>
      <c r="D18" s="68"/>
      <c r="E18" s="89"/>
      <c r="G18" s="54"/>
    </row>
    <row r="19" spans="1:7" ht="21.75">
      <c r="A19" s="70"/>
      <c r="B19" s="87"/>
      <c r="C19" s="87"/>
      <c r="D19" s="68"/>
      <c r="E19" s="89"/>
      <c r="G19" s="54"/>
    </row>
    <row r="20" spans="1:7" ht="21.75">
      <c r="A20" s="70"/>
      <c r="B20" s="87"/>
      <c r="C20" s="87"/>
      <c r="D20" s="68"/>
      <c r="E20" s="89"/>
      <c r="G20" s="54"/>
    </row>
    <row r="21" spans="1:7" ht="21.75">
      <c r="A21" s="70"/>
      <c r="B21" s="87"/>
      <c r="C21" s="87"/>
      <c r="D21" s="68"/>
      <c r="E21" s="89"/>
      <c r="G21" s="54"/>
    </row>
    <row r="22" spans="1:7" ht="21.75">
      <c r="A22" s="70"/>
      <c r="B22" s="87"/>
      <c r="C22" s="87"/>
      <c r="D22" s="68"/>
      <c r="E22" s="89"/>
      <c r="G22" s="54"/>
    </row>
    <row r="23" spans="1:7" ht="21.75">
      <c r="A23" s="90"/>
      <c r="B23" s="91"/>
      <c r="C23" s="91"/>
      <c r="D23" s="92"/>
      <c r="E23" s="65"/>
      <c r="F23" s="93">
        <f>SUM(F6:F10)</f>
        <v>1364563.94</v>
      </c>
      <c r="G23" s="71">
        <f>G11+G12+G13+G14+G15</f>
        <v>1364563.94</v>
      </c>
    </row>
    <row r="25" ht="21.75">
      <c r="A25" s="79" t="s">
        <v>72</v>
      </c>
    </row>
    <row r="27" ht="21.75">
      <c r="C27" s="307" t="s">
        <v>231</v>
      </c>
    </row>
    <row r="29" ht="7.5" customHeight="1"/>
    <row r="30" ht="21.75" hidden="1"/>
    <row r="31" spans="1:7" s="79" customFormat="1" ht="21">
      <c r="A31" s="538" t="s">
        <v>73</v>
      </c>
      <c r="B31" s="539"/>
      <c r="C31" s="540"/>
      <c r="D31" s="94" t="s">
        <v>74</v>
      </c>
      <c r="E31" s="538" t="s">
        <v>75</v>
      </c>
      <c r="F31" s="539"/>
      <c r="G31" s="540"/>
    </row>
    <row r="32" spans="1:7" ht="21.75">
      <c r="A32" s="70"/>
      <c r="B32" s="87"/>
      <c r="C32" s="68"/>
      <c r="D32" s="95"/>
      <c r="E32" s="82"/>
      <c r="F32" s="59"/>
      <c r="G32" s="96"/>
    </row>
    <row r="33" spans="1:7" ht="21.75">
      <c r="A33" s="70"/>
      <c r="B33" s="87"/>
      <c r="C33" s="68"/>
      <c r="D33" s="95"/>
      <c r="E33" s="82"/>
      <c r="F33" s="59"/>
      <c r="G33" s="96"/>
    </row>
    <row r="34" spans="1:7" ht="21.75">
      <c r="A34" s="90"/>
      <c r="B34" s="91"/>
      <c r="C34" s="92"/>
      <c r="D34" s="97"/>
      <c r="E34" s="64"/>
      <c r="F34" s="98"/>
      <c r="G34" s="99"/>
    </row>
    <row r="35" spans="1:7" ht="21.75">
      <c r="A35" s="87"/>
      <c r="B35" s="87"/>
      <c r="C35" s="87"/>
      <c r="D35" s="87"/>
      <c r="E35" s="83"/>
      <c r="F35" s="59"/>
      <c r="G35" s="59"/>
    </row>
    <row r="36" spans="1:7" ht="21.75">
      <c r="A36" s="87"/>
      <c r="B36" s="87"/>
      <c r="C36" s="87"/>
      <c r="D36" s="87"/>
      <c r="E36" s="83"/>
      <c r="F36" s="59"/>
      <c r="G36" s="59"/>
    </row>
    <row r="37" spans="1:7" ht="21.75">
      <c r="A37" s="87"/>
      <c r="B37" s="87"/>
      <c r="C37" s="87"/>
      <c r="D37" s="87" t="s">
        <v>120</v>
      </c>
      <c r="E37" s="83"/>
      <c r="F37" s="59"/>
      <c r="G37" s="59"/>
    </row>
    <row r="38" ht="17.25" customHeight="1">
      <c r="D38" s="61" t="s">
        <v>122</v>
      </c>
    </row>
    <row r="39" ht="17.25" customHeight="1">
      <c r="C39" s="61" t="s">
        <v>123</v>
      </c>
    </row>
    <row r="40" ht="21.75">
      <c r="C40" s="61" t="s">
        <v>124</v>
      </c>
    </row>
    <row r="41" ht="21.75">
      <c r="C41" s="61" t="s">
        <v>125</v>
      </c>
    </row>
    <row r="42" ht="21.75">
      <c r="C42" s="136" t="s">
        <v>126</v>
      </c>
    </row>
    <row r="43" ht="21.75">
      <c r="C43" s="61" t="s">
        <v>127</v>
      </c>
    </row>
    <row r="45" ht="21.75">
      <c r="C45" s="143" t="s">
        <v>128</v>
      </c>
    </row>
    <row r="46" ht="21.75">
      <c r="C46" s="61" t="s">
        <v>129</v>
      </c>
    </row>
    <row r="47" ht="21.75">
      <c r="C47" s="61" t="s">
        <v>130</v>
      </c>
    </row>
    <row r="48" ht="21.75">
      <c r="C48" s="61" t="s">
        <v>131</v>
      </c>
    </row>
    <row r="49" ht="21.75">
      <c r="C49" s="143" t="s">
        <v>132</v>
      </c>
    </row>
    <row r="50" ht="21.75">
      <c r="C50" s="61" t="s">
        <v>133</v>
      </c>
    </row>
    <row r="51" ht="21.75">
      <c r="C51" s="61" t="s">
        <v>134</v>
      </c>
    </row>
    <row r="52" ht="21.75">
      <c r="C52" s="61" t="s">
        <v>135</v>
      </c>
    </row>
    <row r="53" ht="21.75">
      <c r="C53" s="61" t="s">
        <v>136</v>
      </c>
    </row>
    <row r="54" ht="21.75">
      <c r="C54" s="143" t="s">
        <v>137</v>
      </c>
    </row>
    <row r="55" ht="21.75">
      <c r="C55" s="61" t="s">
        <v>138</v>
      </c>
    </row>
    <row r="56" ht="21.75">
      <c r="C56" s="61" t="s">
        <v>139</v>
      </c>
    </row>
    <row r="57" ht="21.75">
      <c r="C57" s="143" t="s">
        <v>140</v>
      </c>
    </row>
    <row r="58" ht="21.75">
      <c r="C58" s="61" t="s">
        <v>141</v>
      </c>
    </row>
    <row r="59" ht="21.75">
      <c r="C59" s="61" t="s">
        <v>142</v>
      </c>
    </row>
    <row r="60" ht="21.75">
      <c r="C60" s="61" t="s">
        <v>143</v>
      </c>
    </row>
    <row r="62" ht="21.75">
      <c r="D62" s="61" t="s">
        <v>144</v>
      </c>
    </row>
    <row r="63" ht="21.75">
      <c r="D63" s="61" t="s">
        <v>145</v>
      </c>
    </row>
    <row r="64" ht="21.75">
      <c r="D64" s="61" t="s">
        <v>146</v>
      </c>
    </row>
    <row r="66" ht="21.75">
      <c r="D66" s="61" t="s">
        <v>147</v>
      </c>
    </row>
    <row r="67" ht="21.75">
      <c r="D67" s="61" t="s">
        <v>148</v>
      </c>
    </row>
    <row r="68" ht="21.75">
      <c r="D68" s="61" t="s">
        <v>149</v>
      </c>
    </row>
    <row r="69" ht="21.75">
      <c r="C69" s="61" t="s">
        <v>150</v>
      </c>
    </row>
    <row r="70" ht="21.75">
      <c r="C70" s="61" t="s">
        <v>151</v>
      </c>
    </row>
    <row r="71" ht="21.75">
      <c r="C71" s="61" t="s">
        <v>35</v>
      </c>
    </row>
    <row r="86" ht="21.75">
      <c r="D86" s="61" t="s">
        <v>152</v>
      </c>
    </row>
    <row r="87" ht="21.75">
      <c r="D87" s="61" t="s">
        <v>153</v>
      </c>
    </row>
  </sheetData>
  <mergeCells count="3">
    <mergeCell ref="A5:D5"/>
    <mergeCell ref="A31:C31"/>
    <mergeCell ref="E31:G31"/>
  </mergeCells>
  <printOptions/>
  <pageMargins left="0.35433070866141736" right="0.35433070866141736" top="0.984251968503937" bottom="0.5905511811023623" header="0.5118110236220472" footer="0.5118110236220472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3"/>
  <dimension ref="A1:G39"/>
  <sheetViews>
    <sheetView workbookViewId="0" topLeftCell="A1">
      <selection activeCell="I16" sqref="I16"/>
    </sheetView>
  </sheetViews>
  <sheetFormatPr defaultColWidth="9.140625" defaultRowHeight="21.75"/>
  <cols>
    <col min="1" max="1" width="4.140625" style="118" customWidth="1"/>
    <col min="2" max="2" width="12.00390625" style="118" customWidth="1"/>
    <col min="3" max="3" width="21.00390625" style="118" customWidth="1"/>
    <col min="4" max="4" width="36.00390625" style="118" customWidth="1"/>
    <col min="5" max="5" width="11.00390625" style="118" customWidth="1"/>
    <col min="6" max="7" width="13.421875" style="118" customWidth="1"/>
    <col min="8" max="16384" width="9.140625" style="118" customWidth="1"/>
  </cols>
  <sheetData>
    <row r="1" spans="4:7" s="61" customFormat="1" ht="23.25">
      <c r="D1" s="179" t="s">
        <v>64</v>
      </c>
      <c r="E1" s="62"/>
      <c r="F1" s="303" t="s">
        <v>220</v>
      </c>
      <c r="G1" s="77"/>
    </row>
    <row r="2" spans="5:7" s="61" customFormat="1" ht="21.75">
      <c r="E2" s="62"/>
      <c r="F2" s="303" t="s">
        <v>221</v>
      </c>
      <c r="G2" s="78"/>
    </row>
    <row r="3" spans="2:7" s="61" customFormat="1" ht="21.75">
      <c r="B3" s="79" t="s">
        <v>65</v>
      </c>
      <c r="E3" s="62"/>
      <c r="F3" s="58"/>
      <c r="G3" s="58"/>
    </row>
    <row r="4" spans="1:7" s="185" customFormat="1" ht="18.75">
      <c r="A4" s="181"/>
      <c r="B4" s="182"/>
      <c r="C4" s="182"/>
      <c r="D4" s="182"/>
      <c r="E4" s="183" t="s">
        <v>66</v>
      </c>
      <c r="F4" s="184" t="s">
        <v>60</v>
      </c>
      <c r="G4" s="184" t="s">
        <v>61</v>
      </c>
    </row>
    <row r="5" spans="1:7" s="185" customFormat="1" ht="18.75">
      <c r="A5" s="186" t="s">
        <v>67</v>
      </c>
      <c r="B5" s="187" t="s">
        <v>107</v>
      </c>
      <c r="C5" s="187"/>
      <c r="D5" s="188"/>
      <c r="E5" s="189">
        <v>110201</v>
      </c>
      <c r="F5" s="190" t="s">
        <v>63</v>
      </c>
      <c r="G5" s="191"/>
    </row>
    <row r="6" spans="1:7" s="185" customFormat="1" ht="18.75">
      <c r="A6" s="192"/>
      <c r="B6" s="170" t="s">
        <v>76</v>
      </c>
      <c r="C6" s="170"/>
      <c r="D6" s="193"/>
      <c r="E6" s="189">
        <v>510000</v>
      </c>
      <c r="F6" s="194">
        <v>0</v>
      </c>
      <c r="G6" s="195"/>
    </row>
    <row r="7" spans="1:7" s="185" customFormat="1" ht="18.75">
      <c r="A7" s="192"/>
      <c r="B7" s="327" t="s">
        <v>210</v>
      </c>
      <c r="C7" s="170"/>
      <c r="D7" s="193"/>
      <c r="E7" s="189">
        <v>521000</v>
      </c>
      <c r="F7" s="194">
        <v>152250</v>
      </c>
      <c r="G7" s="195"/>
    </row>
    <row r="8" spans="1:7" s="185" customFormat="1" ht="18.75">
      <c r="A8" s="192"/>
      <c r="B8" s="170" t="s">
        <v>211</v>
      </c>
      <c r="C8" s="170"/>
      <c r="D8" s="193"/>
      <c r="E8" s="189">
        <v>522000</v>
      </c>
      <c r="F8" s="194">
        <v>329998</v>
      </c>
      <c r="G8" s="195"/>
    </row>
    <row r="9" spans="1:7" s="185" customFormat="1" ht="18.75">
      <c r="A9" s="192"/>
      <c r="B9" s="170" t="s">
        <v>77</v>
      </c>
      <c r="C9" s="170"/>
      <c r="D9" s="193"/>
      <c r="E9" s="189">
        <v>531000</v>
      </c>
      <c r="F9" s="194">
        <v>38346</v>
      </c>
      <c r="G9" s="195"/>
    </row>
    <row r="10" spans="1:7" s="185" customFormat="1" ht="18.75">
      <c r="A10" s="192"/>
      <c r="B10" s="170" t="s">
        <v>78</v>
      </c>
      <c r="C10" s="170"/>
      <c r="D10" s="193"/>
      <c r="E10" s="189">
        <v>532000</v>
      </c>
      <c r="F10" s="194">
        <v>55609.64</v>
      </c>
      <c r="G10" s="195"/>
    </row>
    <row r="11" spans="1:7" s="185" customFormat="1" ht="18.75">
      <c r="A11" s="192"/>
      <c r="B11" s="170" t="s">
        <v>79</v>
      </c>
      <c r="C11" s="170"/>
      <c r="D11" s="193"/>
      <c r="E11" s="196">
        <v>533000</v>
      </c>
      <c r="F11" s="194">
        <v>49970.45</v>
      </c>
      <c r="G11" s="195"/>
    </row>
    <row r="12" spans="1:7" s="185" customFormat="1" ht="18.75">
      <c r="A12" s="192"/>
      <c r="B12" s="170" t="s">
        <v>80</v>
      </c>
      <c r="C12" s="170"/>
      <c r="D12" s="193"/>
      <c r="E12" s="189">
        <v>534000</v>
      </c>
      <c r="F12" s="194">
        <v>17961.91</v>
      </c>
      <c r="G12" s="195"/>
    </row>
    <row r="13" spans="1:7" s="185" customFormat="1" ht="18.75">
      <c r="A13" s="192"/>
      <c r="B13" s="170" t="s">
        <v>168</v>
      </c>
      <c r="C13" s="170"/>
      <c r="D13" s="193"/>
      <c r="E13" s="189">
        <v>561000</v>
      </c>
      <c r="F13" s="194">
        <v>358000</v>
      </c>
      <c r="G13" s="195"/>
    </row>
    <row r="14" spans="1:7" s="185" customFormat="1" ht="18.75">
      <c r="A14" s="192"/>
      <c r="B14" s="170" t="s">
        <v>186</v>
      </c>
      <c r="C14" s="170"/>
      <c r="D14" s="193"/>
      <c r="E14" s="189">
        <v>541000</v>
      </c>
      <c r="F14" s="194">
        <v>0</v>
      </c>
      <c r="G14" s="195"/>
    </row>
    <row r="15" spans="1:7" s="185" customFormat="1" ht="18.75">
      <c r="A15" s="192"/>
      <c r="B15" s="327" t="s">
        <v>183</v>
      </c>
      <c r="C15" s="170"/>
      <c r="D15" s="193"/>
      <c r="E15" s="189">
        <v>542000</v>
      </c>
      <c r="F15" s="194">
        <v>0</v>
      </c>
      <c r="G15" s="195"/>
    </row>
    <row r="16" spans="1:7" s="185" customFormat="1" ht="18.75">
      <c r="A16" s="192"/>
      <c r="B16" s="170" t="s">
        <v>182</v>
      </c>
      <c r="C16" s="170"/>
      <c r="D16" s="193"/>
      <c r="E16" s="189">
        <v>551000</v>
      </c>
      <c r="F16" s="194">
        <v>0</v>
      </c>
      <c r="G16" s="195"/>
    </row>
    <row r="17" spans="1:7" s="185" customFormat="1" ht="18.75">
      <c r="A17" s="192"/>
      <c r="B17" s="327" t="s">
        <v>222</v>
      </c>
      <c r="C17" s="170"/>
      <c r="D17" s="193"/>
      <c r="E17" s="189">
        <v>441001</v>
      </c>
      <c r="F17" s="194">
        <v>98400</v>
      </c>
      <c r="G17" s="195"/>
    </row>
    <row r="18" spans="1:7" s="185" customFormat="1" ht="18.75">
      <c r="A18" s="192"/>
      <c r="B18" s="170" t="s">
        <v>81</v>
      </c>
      <c r="C18" s="170"/>
      <c r="D18" s="193"/>
      <c r="E18" s="189">
        <v>230102</v>
      </c>
      <c r="F18" s="194">
        <v>2661.55</v>
      </c>
      <c r="G18" s="195"/>
    </row>
    <row r="19" spans="1:7" s="185" customFormat="1" ht="18.75">
      <c r="A19" s="192"/>
      <c r="B19" s="170" t="s">
        <v>108</v>
      </c>
      <c r="C19" s="170"/>
      <c r="D19" s="193"/>
      <c r="E19" s="189">
        <v>230105</v>
      </c>
      <c r="F19" s="194">
        <v>0</v>
      </c>
      <c r="G19" s="195"/>
    </row>
    <row r="20" spans="1:7" s="185" customFormat="1" ht="18.75">
      <c r="A20" s="192"/>
      <c r="B20" s="170" t="s">
        <v>184</v>
      </c>
      <c r="C20" s="170"/>
      <c r="D20" s="193"/>
      <c r="E20" s="189">
        <v>230109</v>
      </c>
      <c r="F20" s="194">
        <v>90792</v>
      </c>
      <c r="G20" s="195"/>
    </row>
    <row r="21" spans="1:7" s="185" customFormat="1" ht="18.75">
      <c r="A21" s="192"/>
      <c r="B21" s="170" t="s">
        <v>117</v>
      </c>
      <c r="C21" s="170"/>
      <c r="D21" s="193"/>
      <c r="E21" s="189">
        <v>230199</v>
      </c>
      <c r="F21" s="194">
        <v>1100</v>
      </c>
      <c r="G21" s="195"/>
    </row>
    <row r="22" spans="1:7" s="185" customFormat="1" ht="18.75">
      <c r="A22" s="192"/>
      <c r="B22" s="327" t="s">
        <v>111</v>
      </c>
      <c r="C22" s="170"/>
      <c r="D22" s="193"/>
      <c r="E22" s="196">
        <v>230300</v>
      </c>
      <c r="F22" s="194">
        <v>123.22</v>
      </c>
      <c r="G22" s="195"/>
    </row>
    <row r="23" spans="1:7" s="185" customFormat="1" ht="18.75">
      <c r="A23" s="192"/>
      <c r="B23" s="352" t="s">
        <v>223</v>
      </c>
      <c r="C23" s="170"/>
      <c r="D23" s="193"/>
      <c r="E23" s="196">
        <v>300000</v>
      </c>
      <c r="F23" s="194">
        <v>52500</v>
      </c>
      <c r="G23" s="195"/>
    </row>
    <row r="24" spans="1:7" s="185" customFormat="1" ht="18.75">
      <c r="A24" s="192"/>
      <c r="B24" s="197" t="s">
        <v>69</v>
      </c>
      <c r="C24" s="170" t="s">
        <v>68</v>
      </c>
      <c r="D24" s="193"/>
      <c r="E24" s="189">
        <v>110203</v>
      </c>
      <c r="F24" s="194"/>
      <c r="G24" s="195">
        <v>1182354.94</v>
      </c>
    </row>
    <row r="25" spans="1:7" s="185" customFormat="1" ht="18.75">
      <c r="A25" s="192"/>
      <c r="B25" s="197"/>
      <c r="C25" s="170" t="s">
        <v>119</v>
      </c>
      <c r="D25" s="193"/>
      <c r="E25" s="189">
        <v>110203</v>
      </c>
      <c r="F25" s="194"/>
      <c r="G25" s="195">
        <v>63182.52</v>
      </c>
    </row>
    <row r="26" spans="1:7" s="185" customFormat="1" ht="18.75">
      <c r="A26" s="192"/>
      <c r="B26" s="170"/>
      <c r="C26" s="170" t="s">
        <v>81</v>
      </c>
      <c r="D26" s="193"/>
      <c r="E26" s="196">
        <v>230102</v>
      </c>
      <c r="F26" s="194"/>
      <c r="G26" s="195">
        <v>1075.31</v>
      </c>
    </row>
    <row r="27" spans="1:7" s="185" customFormat="1" ht="18.75">
      <c r="A27" s="192"/>
      <c r="B27" s="170"/>
      <c r="C27" s="170" t="s">
        <v>117</v>
      </c>
      <c r="D27" s="193"/>
      <c r="E27" s="196">
        <v>230199</v>
      </c>
      <c r="F27" s="194"/>
      <c r="G27" s="195">
        <v>1100</v>
      </c>
    </row>
    <row r="28" spans="1:7" s="202" customFormat="1" ht="22.5">
      <c r="A28" s="198"/>
      <c r="B28" s="199"/>
      <c r="C28" s="199"/>
      <c r="D28" s="200"/>
      <c r="E28" s="201"/>
      <c r="F28" s="272">
        <f>SUM(F6:F27)</f>
        <v>1247712.77</v>
      </c>
      <c r="G28" s="273">
        <f>G24+G25+G26+G27</f>
        <v>1247712.77</v>
      </c>
    </row>
    <row r="29" spans="1:7" s="202" customFormat="1" ht="22.5">
      <c r="A29" s="209"/>
      <c r="B29" s="209"/>
      <c r="C29" s="209"/>
      <c r="D29" s="209"/>
      <c r="E29" s="214"/>
      <c r="F29" s="335"/>
      <c r="G29" s="335"/>
    </row>
    <row r="30" spans="1:7" s="202" customFormat="1" ht="18.75">
      <c r="A30" s="209"/>
      <c r="B30" s="209"/>
      <c r="C30" s="209"/>
      <c r="D30" s="209"/>
      <c r="E30" s="214"/>
      <c r="F30" s="212"/>
      <c r="G30" s="212"/>
    </row>
    <row r="31" spans="1:7" s="202" customFormat="1" ht="18.75">
      <c r="A31" s="329" t="s">
        <v>72</v>
      </c>
      <c r="E31" s="203"/>
      <c r="F31" s="204"/>
      <c r="G31" s="204"/>
    </row>
    <row r="32" spans="3:7" s="202" customFormat="1" ht="18.75">
      <c r="C32" s="330" t="s">
        <v>224</v>
      </c>
      <c r="E32" s="203"/>
      <c r="F32" s="204"/>
      <c r="G32" s="204"/>
    </row>
    <row r="33" spans="5:7" s="202" customFormat="1" ht="18.75">
      <c r="E33" s="203"/>
      <c r="F33" s="204"/>
      <c r="G33" s="204"/>
    </row>
    <row r="34" spans="5:7" s="202" customFormat="1" ht="18.75">
      <c r="E34" s="203"/>
      <c r="F34" s="204"/>
      <c r="G34" s="204"/>
    </row>
    <row r="35" spans="5:7" s="199" customFormat="1" ht="18.75">
      <c r="E35" s="205"/>
      <c r="F35" s="206"/>
      <c r="G35" s="206"/>
    </row>
    <row r="36" spans="1:7" s="207" customFormat="1" ht="18">
      <c r="A36" s="541" t="s">
        <v>73</v>
      </c>
      <c r="B36" s="542"/>
      <c r="C36" s="543"/>
      <c r="D36" s="331" t="s">
        <v>74</v>
      </c>
      <c r="E36" s="541" t="s">
        <v>75</v>
      </c>
      <c r="F36" s="542"/>
      <c r="G36" s="543"/>
    </row>
    <row r="37" spans="1:7" s="209" customFormat="1" ht="18.75">
      <c r="A37" s="208"/>
      <c r="C37" s="210"/>
      <c r="D37" s="211"/>
      <c r="E37" s="332"/>
      <c r="F37" s="333"/>
      <c r="G37" s="334"/>
    </row>
    <row r="38" spans="1:7" s="209" customFormat="1" ht="18.75">
      <c r="A38" s="208"/>
      <c r="C38" s="210"/>
      <c r="D38" s="211"/>
      <c r="E38" s="214"/>
      <c r="F38" s="212"/>
      <c r="G38" s="213"/>
    </row>
    <row r="39" spans="1:7" s="199" customFormat="1" ht="18.75">
      <c r="A39" s="198"/>
      <c r="C39" s="200"/>
      <c r="D39" s="215"/>
      <c r="E39" s="205"/>
      <c r="F39" s="206"/>
      <c r="G39" s="216"/>
    </row>
    <row r="40" s="202" customFormat="1" ht="18.75"/>
  </sheetData>
  <mergeCells count="2">
    <mergeCell ref="A36:C36"/>
    <mergeCell ref="E36:G36"/>
  </mergeCells>
  <printOptions/>
  <pageMargins left="0.35433070866141736" right="0.35433070866141736" top="0.3937007874015748" bottom="0.3937007874015748" header="0.5118110236220472" footer="0.5118110236220472"/>
  <pageSetup horizontalDpi="180" verticalDpi="18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4"/>
  <dimension ref="A1:G39"/>
  <sheetViews>
    <sheetView workbookViewId="0" topLeftCell="A31">
      <selection activeCell="A17" sqref="A17:IV17"/>
    </sheetView>
  </sheetViews>
  <sheetFormatPr defaultColWidth="9.140625" defaultRowHeight="21.75"/>
  <cols>
    <col min="1" max="1" width="4.140625" style="0" customWidth="1"/>
    <col min="2" max="2" width="13.00390625" style="0" customWidth="1"/>
    <col min="3" max="3" width="17.421875" style="0" customWidth="1"/>
    <col min="4" max="4" width="29.57421875" style="0" customWidth="1"/>
    <col min="5" max="5" width="11.00390625" style="0" customWidth="1"/>
    <col min="6" max="7" width="13.421875" style="0" customWidth="1"/>
  </cols>
  <sheetData>
    <row r="1" spans="4:7" s="61" customFormat="1" ht="26.25">
      <c r="D1" s="76" t="s">
        <v>64</v>
      </c>
      <c r="E1" s="62"/>
      <c r="F1" s="305" t="s">
        <v>232</v>
      </c>
      <c r="G1" s="77"/>
    </row>
    <row r="2" spans="5:7" s="61" customFormat="1" ht="21.75">
      <c r="E2" s="62"/>
      <c r="F2" s="305" t="s">
        <v>233</v>
      </c>
      <c r="G2" s="78"/>
    </row>
    <row r="3" spans="2:7" s="61" customFormat="1" ht="21.75">
      <c r="B3" s="79" t="s">
        <v>65</v>
      </c>
      <c r="E3" s="62"/>
      <c r="F3" s="58"/>
      <c r="G3" s="58"/>
    </row>
    <row r="4" spans="1:7" s="61" customFormat="1" ht="21.75">
      <c r="A4" s="100"/>
      <c r="B4" s="101"/>
      <c r="C4" s="101"/>
      <c r="D4" s="101"/>
      <c r="E4" s="80" t="s">
        <v>66</v>
      </c>
      <c r="F4" s="81" t="s">
        <v>60</v>
      </c>
      <c r="G4" s="81" t="s">
        <v>61</v>
      </c>
    </row>
    <row r="5" spans="1:7" s="61" customFormat="1" ht="21.75">
      <c r="A5" s="102" t="s">
        <v>67</v>
      </c>
      <c r="B5" s="63" t="s">
        <v>70</v>
      </c>
      <c r="C5" s="63"/>
      <c r="D5" s="67"/>
      <c r="E5" s="103">
        <v>400000</v>
      </c>
      <c r="F5" s="58">
        <v>1330391.94</v>
      </c>
      <c r="G5" s="66"/>
    </row>
    <row r="6" spans="1:7" s="61" customFormat="1" ht="21.75">
      <c r="A6" s="86"/>
      <c r="B6" s="88" t="s">
        <v>69</v>
      </c>
      <c r="C6" s="87" t="s">
        <v>105</v>
      </c>
      <c r="D6" s="68"/>
      <c r="E6" s="84">
        <v>411001</v>
      </c>
      <c r="F6" s="58"/>
      <c r="G6" s="54">
        <v>0</v>
      </c>
    </row>
    <row r="7" spans="1:7" s="61" customFormat="1" ht="21.75">
      <c r="A7" s="86"/>
      <c r="C7" s="87" t="s">
        <v>106</v>
      </c>
      <c r="D7" s="68"/>
      <c r="E7" s="84">
        <v>411002</v>
      </c>
      <c r="F7" s="58"/>
      <c r="G7" s="54">
        <v>0</v>
      </c>
    </row>
    <row r="8" spans="1:7" s="61" customFormat="1" ht="21.75">
      <c r="A8" s="86"/>
      <c r="C8" s="87" t="s">
        <v>181</v>
      </c>
      <c r="D8" s="68"/>
      <c r="E8" s="84">
        <v>412104</v>
      </c>
      <c r="F8" s="58"/>
      <c r="G8" s="54">
        <v>0</v>
      </c>
    </row>
    <row r="9" spans="1:7" s="61" customFormat="1" ht="21.75">
      <c r="A9" s="86"/>
      <c r="C9" s="87" t="s">
        <v>185</v>
      </c>
      <c r="D9" s="68"/>
      <c r="E9" s="84">
        <v>412202</v>
      </c>
      <c r="F9" s="58"/>
      <c r="G9" s="54">
        <v>400</v>
      </c>
    </row>
    <row r="10" spans="1:7" s="61" customFormat="1" ht="21.75">
      <c r="A10" s="86"/>
      <c r="C10" s="306" t="s">
        <v>212</v>
      </c>
      <c r="D10" s="68"/>
      <c r="E10" s="84">
        <v>412199</v>
      </c>
      <c r="F10" s="58"/>
      <c r="G10" s="54">
        <v>0</v>
      </c>
    </row>
    <row r="11" spans="1:7" s="61" customFormat="1" ht="21.75">
      <c r="A11" s="86"/>
      <c r="C11" s="87" t="s">
        <v>112</v>
      </c>
      <c r="D11" s="68"/>
      <c r="E11" s="84">
        <v>413003</v>
      </c>
      <c r="F11" s="58"/>
      <c r="G11" s="54">
        <v>39227.71</v>
      </c>
    </row>
    <row r="12" spans="1:7" s="61" customFormat="1" ht="21.75">
      <c r="A12" s="86"/>
      <c r="C12" s="87" t="s">
        <v>82</v>
      </c>
      <c r="D12" s="68"/>
      <c r="E12" s="84">
        <v>414006</v>
      </c>
      <c r="F12" s="58"/>
      <c r="G12" s="54">
        <v>2887</v>
      </c>
    </row>
    <row r="13" spans="1:7" s="61" customFormat="1" ht="21.75">
      <c r="A13" s="86"/>
      <c r="C13" s="87" t="s">
        <v>234</v>
      </c>
      <c r="D13" s="68"/>
      <c r="E13" s="84">
        <v>415004</v>
      </c>
      <c r="F13" s="58"/>
      <c r="G13" s="54">
        <v>29500</v>
      </c>
    </row>
    <row r="14" spans="1:7" s="61" customFormat="1" ht="21.75">
      <c r="A14" s="86"/>
      <c r="C14" s="306" t="s">
        <v>235</v>
      </c>
      <c r="D14" s="68"/>
      <c r="E14" s="84">
        <v>415999</v>
      </c>
      <c r="F14" s="58"/>
      <c r="G14" s="54">
        <v>10</v>
      </c>
    </row>
    <row r="15" spans="1:7" s="61" customFormat="1" ht="21.75">
      <c r="A15" s="70"/>
      <c r="B15" s="87"/>
      <c r="C15" s="306" t="s">
        <v>213</v>
      </c>
      <c r="D15" s="68"/>
      <c r="E15" s="84">
        <v>421002</v>
      </c>
      <c r="F15" s="58"/>
      <c r="G15" s="54">
        <v>811926.64</v>
      </c>
    </row>
    <row r="16" spans="1:7" s="61" customFormat="1" ht="21.75">
      <c r="A16" s="70"/>
      <c r="B16" s="87"/>
      <c r="C16" s="326" t="s">
        <v>236</v>
      </c>
      <c r="D16" s="68"/>
      <c r="E16" s="84">
        <v>421003</v>
      </c>
      <c r="F16" s="58"/>
      <c r="G16" s="54">
        <v>102753.24</v>
      </c>
    </row>
    <row r="17" spans="1:7" s="61" customFormat="1" ht="21.75">
      <c r="A17" s="70"/>
      <c r="B17" s="87"/>
      <c r="C17" s="87" t="s">
        <v>175</v>
      </c>
      <c r="D17" s="68"/>
      <c r="E17" s="84">
        <v>421006</v>
      </c>
      <c r="F17" s="58"/>
      <c r="G17" s="54">
        <v>60158.14</v>
      </c>
    </row>
    <row r="18" spans="1:7" s="61" customFormat="1" ht="21.75">
      <c r="A18" s="70"/>
      <c r="B18" s="87"/>
      <c r="C18" s="87" t="s">
        <v>176</v>
      </c>
      <c r="D18" s="68"/>
      <c r="E18" s="84">
        <v>421007</v>
      </c>
      <c r="F18" s="58"/>
      <c r="G18" s="54">
        <v>107428.61</v>
      </c>
    </row>
    <row r="19" spans="1:7" s="61" customFormat="1" ht="21.75">
      <c r="A19" s="70"/>
      <c r="B19" s="87"/>
      <c r="C19" s="306" t="s">
        <v>187</v>
      </c>
      <c r="D19" s="68"/>
      <c r="E19" s="84">
        <v>421012</v>
      </c>
      <c r="F19" s="58"/>
      <c r="G19" s="54">
        <v>36638.31</v>
      </c>
    </row>
    <row r="20" spans="1:7" s="61" customFormat="1" ht="21.75">
      <c r="A20" s="70"/>
      <c r="B20" s="87"/>
      <c r="C20" s="326" t="s">
        <v>188</v>
      </c>
      <c r="D20" s="68"/>
      <c r="E20" s="84">
        <v>421013</v>
      </c>
      <c r="F20" s="58"/>
      <c r="G20" s="54">
        <v>0</v>
      </c>
    </row>
    <row r="21" spans="1:7" s="61" customFormat="1" ht="21.75">
      <c r="A21" s="70"/>
      <c r="B21" s="87"/>
      <c r="C21" s="87" t="s">
        <v>162</v>
      </c>
      <c r="D21" s="68"/>
      <c r="E21" s="84">
        <v>421015</v>
      </c>
      <c r="F21" s="58"/>
      <c r="G21" s="54">
        <v>26.19</v>
      </c>
    </row>
    <row r="22" spans="1:7" s="61" customFormat="1" ht="21.75">
      <c r="A22" s="70"/>
      <c r="B22" s="87"/>
      <c r="C22" s="353" t="s">
        <v>237</v>
      </c>
      <c r="D22" s="68"/>
      <c r="E22" s="84">
        <v>441001</v>
      </c>
      <c r="F22" s="58"/>
      <c r="G22" s="54">
        <v>77520</v>
      </c>
    </row>
    <row r="23" spans="1:7" s="61" customFormat="1" ht="21.75">
      <c r="A23" s="70"/>
      <c r="B23" s="87"/>
      <c r="C23" s="170" t="s">
        <v>238</v>
      </c>
      <c r="D23" s="68"/>
      <c r="E23" s="84">
        <v>441001</v>
      </c>
      <c r="F23" s="58"/>
      <c r="G23" s="54">
        <v>20880</v>
      </c>
    </row>
    <row r="24" spans="1:7" s="61" customFormat="1" ht="21.75">
      <c r="A24" s="70"/>
      <c r="B24" s="87"/>
      <c r="C24" s="354" t="s">
        <v>239</v>
      </c>
      <c r="D24" s="68"/>
      <c r="E24" s="84">
        <v>441001</v>
      </c>
      <c r="F24" s="58"/>
      <c r="G24" s="54">
        <v>4920</v>
      </c>
    </row>
    <row r="25" spans="1:7" s="61" customFormat="1" ht="21.75">
      <c r="A25" s="70"/>
      <c r="B25" s="87"/>
      <c r="C25" s="87" t="s">
        <v>240</v>
      </c>
      <c r="D25" s="68"/>
      <c r="E25" s="84">
        <v>499999</v>
      </c>
      <c r="F25" s="58"/>
      <c r="G25" s="54">
        <v>33870</v>
      </c>
    </row>
    <row r="26" spans="1:7" s="61" customFormat="1" ht="21.75">
      <c r="A26" s="70"/>
      <c r="B26" s="87"/>
      <c r="C26" s="87" t="s">
        <v>241</v>
      </c>
      <c r="D26" s="68"/>
      <c r="E26" s="84">
        <v>499999</v>
      </c>
      <c r="F26" s="58"/>
      <c r="G26" s="54">
        <v>1230</v>
      </c>
    </row>
    <row r="27" spans="1:7" s="61" customFormat="1" ht="21.75">
      <c r="A27" s="70"/>
      <c r="B27" s="87"/>
      <c r="C27" s="306" t="s">
        <v>242</v>
      </c>
      <c r="D27" s="68"/>
      <c r="E27" s="84">
        <v>499999</v>
      </c>
      <c r="F27" s="58"/>
      <c r="G27" s="54">
        <v>1016.1</v>
      </c>
    </row>
    <row r="28" spans="1:7" s="61" customFormat="1" ht="21.75">
      <c r="A28" s="90"/>
      <c r="B28" s="91"/>
      <c r="C28" s="91"/>
      <c r="D28" s="92"/>
      <c r="E28" s="65"/>
      <c r="F28" s="314">
        <f>SUM(F5:F5)</f>
        <v>1330391.94</v>
      </c>
      <c r="G28" s="180">
        <f>SUM(G6:G27)</f>
        <v>1330391.9400000002</v>
      </c>
    </row>
    <row r="29" spans="5:7" s="61" customFormat="1" ht="21.75">
      <c r="E29" s="62"/>
      <c r="F29" s="58"/>
      <c r="G29" s="58"/>
    </row>
    <row r="30" spans="1:7" s="61" customFormat="1" ht="21.75">
      <c r="A30" s="79" t="s">
        <v>72</v>
      </c>
      <c r="E30" s="62"/>
      <c r="F30" s="58"/>
      <c r="G30" s="58"/>
    </row>
    <row r="31" spans="3:7" s="61" customFormat="1" ht="21.75">
      <c r="C31" s="307" t="s">
        <v>243</v>
      </c>
      <c r="E31" s="62"/>
      <c r="F31" s="58"/>
      <c r="G31" s="58"/>
    </row>
    <row r="32" spans="5:7" s="61" customFormat="1" ht="8.25" customHeight="1">
      <c r="E32" s="62"/>
      <c r="F32" s="58"/>
      <c r="G32" s="58"/>
    </row>
    <row r="33" spans="5:7" s="61" customFormat="1" ht="21.75" hidden="1">
      <c r="E33" s="62"/>
      <c r="F33" s="58"/>
      <c r="G33" s="58"/>
    </row>
    <row r="34" spans="5:7" s="61" customFormat="1" ht="21.75" hidden="1">
      <c r="E34" s="62"/>
      <c r="F34" s="58"/>
      <c r="G34" s="58"/>
    </row>
    <row r="35" spans="1:7" s="79" customFormat="1" ht="21">
      <c r="A35" s="538" t="s">
        <v>73</v>
      </c>
      <c r="B35" s="539"/>
      <c r="C35" s="540"/>
      <c r="D35" s="94" t="s">
        <v>74</v>
      </c>
      <c r="E35" s="538" t="s">
        <v>75</v>
      </c>
      <c r="F35" s="539"/>
      <c r="G35" s="540"/>
    </row>
    <row r="36" spans="1:7" s="61" customFormat="1" ht="21.75">
      <c r="A36" s="70"/>
      <c r="B36" s="87"/>
      <c r="C36" s="68"/>
      <c r="D36" s="95"/>
      <c r="E36" s="82"/>
      <c r="F36" s="59"/>
      <c r="G36" s="96"/>
    </row>
    <row r="37" spans="1:7" s="87" customFormat="1" ht="21.75">
      <c r="A37" s="70"/>
      <c r="C37" s="68"/>
      <c r="D37" s="95"/>
      <c r="E37" s="83"/>
      <c r="F37" s="59"/>
      <c r="G37" s="96"/>
    </row>
    <row r="38" spans="1:7" s="91" customFormat="1" ht="21.75">
      <c r="A38" s="90"/>
      <c r="C38" s="92"/>
      <c r="D38" s="97"/>
      <c r="E38" s="64"/>
      <c r="F38" s="98"/>
      <c r="G38" s="99"/>
    </row>
    <row r="39" spans="5:7" s="61" customFormat="1" ht="21.75">
      <c r="E39" s="62"/>
      <c r="F39" s="58"/>
      <c r="G39" s="58"/>
    </row>
  </sheetData>
  <mergeCells count="2">
    <mergeCell ref="A35:C35"/>
    <mergeCell ref="E35:G35"/>
  </mergeCells>
  <printOptions/>
  <pageMargins left="0.35433070866141736" right="0.35433070866141736" top="0.984251968503937" bottom="0.5905511811023623" header="0.5118110236220472" footer="0.5118110236220472"/>
  <pageSetup horizontalDpi="180" verticalDpi="18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5"/>
  <dimension ref="A1:H75"/>
  <sheetViews>
    <sheetView workbookViewId="0" topLeftCell="A1">
      <selection activeCell="F28" sqref="F28"/>
    </sheetView>
  </sheetViews>
  <sheetFormatPr defaultColWidth="9.140625" defaultRowHeight="21.75"/>
  <cols>
    <col min="1" max="1" width="4.140625" style="0" customWidth="1"/>
    <col min="2" max="2" width="12.00390625" style="0" customWidth="1"/>
    <col min="3" max="3" width="17.140625" style="0" customWidth="1"/>
    <col min="4" max="4" width="33.28125" style="0" customWidth="1"/>
    <col min="5" max="5" width="11.140625" style="1" customWidth="1"/>
    <col min="6" max="6" width="14.140625" style="161" customWidth="1"/>
    <col min="7" max="7" width="14.28125" style="161" customWidth="1"/>
  </cols>
  <sheetData>
    <row r="1" spans="4:7" ht="26.25">
      <c r="D1" s="16" t="s">
        <v>96</v>
      </c>
      <c r="F1" s="304" t="s">
        <v>227</v>
      </c>
      <c r="G1" s="159"/>
    </row>
    <row r="2" spans="6:7" ht="21.75">
      <c r="F2" s="304" t="s">
        <v>180</v>
      </c>
      <c r="G2" s="160"/>
    </row>
    <row r="3" ht="21.75">
      <c r="B3" s="11" t="s">
        <v>65</v>
      </c>
    </row>
    <row r="4" spans="1:7" s="11" customFormat="1" ht="21">
      <c r="A4" s="517" t="s">
        <v>3</v>
      </c>
      <c r="B4" s="518"/>
      <c r="C4" s="518"/>
      <c r="D4" s="519"/>
      <c r="E4" s="55" t="s">
        <v>66</v>
      </c>
      <c r="F4" s="56" t="s">
        <v>60</v>
      </c>
      <c r="G4" s="56" t="s">
        <v>61</v>
      </c>
    </row>
    <row r="5" spans="1:7" ht="24">
      <c r="A5" s="21" t="s">
        <v>67</v>
      </c>
      <c r="B5" s="344" t="s">
        <v>206</v>
      </c>
      <c r="C5" s="9"/>
      <c r="D5" s="7"/>
      <c r="E5" s="156">
        <v>110201</v>
      </c>
      <c r="F5" s="151">
        <v>139462.29</v>
      </c>
      <c r="G5" s="162"/>
    </row>
    <row r="6" spans="1:7" s="152" customFormat="1" ht="24">
      <c r="A6" s="145"/>
      <c r="B6" s="146" t="s">
        <v>69</v>
      </c>
      <c r="C6" s="345" t="s">
        <v>207</v>
      </c>
      <c r="D6" s="148"/>
      <c r="E6" s="149">
        <v>110203</v>
      </c>
      <c r="F6" s="150"/>
      <c r="G6" s="151">
        <v>139462.29</v>
      </c>
    </row>
    <row r="7" spans="1:7" ht="21.75">
      <c r="A7" s="3"/>
      <c r="B7" s="22"/>
      <c r="C7" s="22"/>
      <c r="D7" s="4"/>
      <c r="E7" s="13"/>
      <c r="G7" s="163"/>
    </row>
    <row r="8" spans="1:7" ht="21.75">
      <c r="A8" s="3"/>
      <c r="B8" s="22"/>
      <c r="C8" s="22"/>
      <c r="D8" s="4"/>
      <c r="E8" s="10"/>
      <c r="G8" s="163"/>
    </row>
    <row r="9" spans="1:7" ht="21.75">
      <c r="A9" s="3"/>
      <c r="B9" s="22"/>
      <c r="C9" s="22"/>
      <c r="D9" s="4"/>
      <c r="E9" s="10"/>
      <c r="G9" s="163"/>
    </row>
    <row r="10" spans="1:7" ht="21.75">
      <c r="A10" s="3"/>
      <c r="B10" s="22"/>
      <c r="C10" s="22"/>
      <c r="D10" s="4"/>
      <c r="E10" s="13"/>
      <c r="G10" s="163"/>
    </row>
    <row r="11" spans="1:7" ht="21.75">
      <c r="A11" s="3"/>
      <c r="B11" s="22"/>
      <c r="C11" s="22"/>
      <c r="D11" s="4"/>
      <c r="E11" s="13"/>
      <c r="G11" s="163"/>
    </row>
    <row r="12" spans="1:7" ht="21.75">
      <c r="A12" s="3"/>
      <c r="B12" s="22"/>
      <c r="C12" s="22"/>
      <c r="D12" s="4"/>
      <c r="E12" s="13"/>
      <c r="G12" s="163"/>
    </row>
    <row r="13" spans="1:7" ht="21.75">
      <c r="A13" s="3"/>
      <c r="B13" s="22"/>
      <c r="C13" s="22"/>
      <c r="D13" s="4"/>
      <c r="E13" s="13"/>
      <c r="G13" s="163"/>
    </row>
    <row r="14" spans="1:7" ht="21.75">
      <c r="A14" s="3"/>
      <c r="B14" s="22"/>
      <c r="C14" s="22"/>
      <c r="D14" s="4"/>
      <c r="E14" s="13"/>
      <c r="G14" s="163"/>
    </row>
    <row r="15" spans="1:7" ht="21.75">
      <c r="A15" s="3"/>
      <c r="B15" s="22"/>
      <c r="C15" s="22"/>
      <c r="D15" s="4"/>
      <c r="E15" s="10"/>
      <c r="G15" s="163"/>
    </row>
    <row r="16" spans="1:7" ht="21.75">
      <c r="A16" s="3"/>
      <c r="B16" s="22"/>
      <c r="C16" s="22"/>
      <c r="D16" s="4"/>
      <c r="E16" s="10"/>
      <c r="G16" s="163"/>
    </row>
    <row r="17" spans="1:7" ht="21.75">
      <c r="A17" s="3"/>
      <c r="B17" s="22"/>
      <c r="C17" s="22"/>
      <c r="D17" s="4"/>
      <c r="E17" s="10"/>
      <c r="G17" s="163"/>
    </row>
    <row r="18" spans="1:7" ht="16.5" customHeight="1">
      <c r="A18" s="3"/>
      <c r="B18" s="22"/>
      <c r="C18" s="22"/>
      <c r="D18" s="4"/>
      <c r="E18" s="10"/>
      <c r="G18" s="163"/>
    </row>
    <row r="19" spans="1:7" ht="19.5" customHeight="1">
      <c r="A19" s="3"/>
      <c r="B19" s="22"/>
      <c r="C19" s="22"/>
      <c r="D19" s="4"/>
      <c r="E19" s="10"/>
      <c r="G19" s="163"/>
    </row>
    <row r="20" spans="1:7" ht="19.5" customHeight="1">
      <c r="A20" s="3"/>
      <c r="B20" s="22"/>
      <c r="C20" s="22"/>
      <c r="D20" s="4"/>
      <c r="E20" s="10"/>
      <c r="G20" s="163"/>
    </row>
    <row r="21" spans="1:7" ht="21.75">
      <c r="A21" s="24"/>
      <c r="B21" s="25"/>
      <c r="C21" s="25"/>
      <c r="D21" s="26"/>
      <c r="E21" s="5"/>
      <c r="F21" s="164">
        <f>SUM(F5)</f>
        <v>139462.29</v>
      </c>
      <c r="G21" s="165">
        <f>SUM(G6+G20)</f>
        <v>139462.29</v>
      </c>
    </row>
    <row r="22" ht="18" customHeight="1"/>
    <row r="23" ht="18.75" customHeight="1">
      <c r="A23" s="11" t="s">
        <v>72</v>
      </c>
    </row>
    <row r="24" ht="18.75" customHeight="1">
      <c r="A24" s="11"/>
    </row>
    <row r="25" spans="2:8" ht="21.75">
      <c r="B25" s="544" t="s">
        <v>216</v>
      </c>
      <c r="C25" s="545"/>
      <c r="D25" s="545"/>
      <c r="E25" s="545"/>
      <c r="F25" s="545"/>
      <c r="G25" s="545"/>
      <c r="H25" s="545"/>
    </row>
    <row r="26" ht="21.75">
      <c r="A26" s="313" t="s">
        <v>228</v>
      </c>
    </row>
    <row r="30" ht="19.5" customHeight="1"/>
    <row r="31" spans="1:7" s="11" customFormat="1" ht="18.75" customHeight="1">
      <c r="A31" s="514" t="s">
        <v>73</v>
      </c>
      <c r="B31" s="515"/>
      <c r="C31" s="516"/>
      <c r="D31" s="27" t="s">
        <v>74</v>
      </c>
      <c r="E31" s="514" t="s">
        <v>75</v>
      </c>
      <c r="F31" s="515"/>
      <c r="G31" s="516"/>
    </row>
    <row r="32" spans="1:7" ht="21.75">
      <c r="A32" s="3"/>
      <c r="B32" s="22"/>
      <c r="C32" s="4"/>
      <c r="D32" s="28"/>
      <c r="E32" s="2"/>
      <c r="F32" s="166"/>
      <c r="G32" s="167"/>
    </row>
    <row r="33" spans="1:7" ht="20.25" customHeight="1">
      <c r="A33" s="3"/>
      <c r="B33" s="22"/>
      <c r="C33" s="4"/>
      <c r="D33" s="28"/>
      <c r="E33" s="2"/>
      <c r="F33" s="166"/>
      <c r="G33" s="167"/>
    </row>
    <row r="34" spans="1:7" ht="23.25" customHeight="1">
      <c r="A34" s="24"/>
      <c r="B34" s="25"/>
      <c r="C34" s="26"/>
      <c r="D34" s="30"/>
      <c r="E34" s="8"/>
      <c r="F34" s="168"/>
      <c r="G34" s="169"/>
    </row>
    <row r="35" spans="1:7" ht="23.25" customHeight="1">
      <c r="A35" s="22"/>
      <c r="B35" s="22"/>
      <c r="C35" s="22"/>
      <c r="D35" s="22"/>
      <c r="E35" s="154"/>
      <c r="F35" s="166"/>
      <c r="G35" s="166"/>
    </row>
    <row r="36" spans="1:7" ht="23.25" customHeight="1">
      <c r="A36" s="22"/>
      <c r="B36" s="22"/>
      <c r="C36" s="22"/>
      <c r="D36" s="22"/>
      <c r="E36" s="154"/>
      <c r="F36" s="166"/>
      <c r="G36" s="166"/>
    </row>
    <row r="37" spans="4:7" ht="26.25">
      <c r="D37" s="16" t="s">
        <v>96</v>
      </c>
      <c r="F37" s="304" t="s">
        <v>196</v>
      </c>
      <c r="G37" s="159"/>
    </row>
    <row r="38" spans="6:7" ht="21.75">
      <c r="F38" s="304" t="s">
        <v>194</v>
      </c>
      <c r="G38" s="160"/>
    </row>
    <row r="39" ht="21.75">
      <c r="B39" s="11" t="s">
        <v>65</v>
      </c>
    </row>
    <row r="40" spans="1:7" ht="21.75">
      <c r="A40" s="517" t="s">
        <v>3</v>
      </c>
      <c r="B40" s="518"/>
      <c r="C40" s="518"/>
      <c r="D40" s="519"/>
      <c r="E40" s="55" t="s">
        <v>66</v>
      </c>
      <c r="F40" s="56" t="s">
        <v>60</v>
      </c>
      <c r="G40" s="56" t="s">
        <v>61</v>
      </c>
    </row>
    <row r="41" spans="1:7" ht="21.75">
      <c r="A41" s="21" t="s">
        <v>67</v>
      </c>
      <c r="B41" s="339" t="s">
        <v>197</v>
      </c>
      <c r="C41" s="340"/>
      <c r="D41" s="341"/>
      <c r="E41" s="140"/>
      <c r="F41" s="163">
        <v>400000</v>
      </c>
      <c r="G41" s="162"/>
    </row>
    <row r="42" spans="1:7" ht="21.75">
      <c r="A42" s="144"/>
      <c r="B42" s="339" t="s">
        <v>198</v>
      </c>
      <c r="C42" s="342"/>
      <c r="D42" s="342"/>
      <c r="E42" s="155"/>
      <c r="F42" s="166">
        <v>92466.18</v>
      </c>
      <c r="G42" s="163"/>
    </row>
    <row r="43" spans="1:7" ht="21.75">
      <c r="A43" s="144"/>
      <c r="B43" s="339" t="s">
        <v>199</v>
      </c>
      <c r="C43" s="342"/>
      <c r="D43" s="343"/>
      <c r="E43" s="155"/>
      <c r="F43" s="166">
        <v>14500</v>
      </c>
      <c r="G43" s="163"/>
    </row>
    <row r="44" spans="1:7" ht="21.75">
      <c r="A44" s="3"/>
      <c r="B44" s="57" t="s">
        <v>69</v>
      </c>
      <c r="C44" s="34" t="s">
        <v>200</v>
      </c>
      <c r="D44" s="22"/>
      <c r="E44" s="141"/>
      <c r="G44" s="163">
        <v>506966.18</v>
      </c>
    </row>
    <row r="45" spans="1:7" ht="21.75">
      <c r="A45" s="3"/>
      <c r="B45" s="23"/>
      <c r="C45" s="22"/>
      <c r="D45" s="4"/>
      <c r="E45" s="13"/>
      <c r="G45" s="163"/>
    </row>
    <row r="46" spans="1:7" ht="21.75">
      <c r="A46" s="3"/>
      <c r="B46" s="22"/>
      <c r="C46" s="22"/>
      <c r="D46" s="4"/>
      <c r="E46" s="13"/>
      <c r="G46" s="163"/>
    </row>
    <row r="47" spans="1:7" ht="21.75">
      <c r="A47" s="3"/>
      <c r="B47" s="23"/>
      <c r="E47" s="13"/>
      <c r="G47" s="163"/>
    </row>
    <row r="48" spans="1:7" ht="21.75">
      <c r="A48" s="3"/>
      <c r="B48" s="22"/>
      <c r="E48" s="13"/>
      <c r="G48" s="163"/>
    </row>
    <row r="49" spans="1:7" ht="21.75">
      <c r="A49" s="3"/>
      <c r="B49" s="22"/>
      <c r="C49" s="22"/>
      <c r="D49" s="4"/>
      <c r="E49" s="10"/>
      <c r="G49" s="163"/>
    </row>
    <row r="50" spans="1:7" ht="21.75">
      <c r="A50" s="3"/>
      <c r="B50" s="22"/>
      <c r="C50" s="22"/>
      <c r="D50" s="4"/>
      <c r="E50" s="10"/>
      <c r="G50" s="163"/>
    </row>
    <row r="51" spans="1:7" ht="21.75">
      <c r="A51" s="3"/>
      <c r="B51" s="22"/>
      <c r="C51" s="22"/>
      <c r="D51" s="4"/>
      <c r="E51" s="10"/>
      <c r="G51" s="163"/>
    </row>
    <row r="52" spans="1:7" ht="21.75">
      <c r="A52" s="3"/>
      <c r="B52" s="22"/>
      <c r="C52" s="22"/>
      <c r="D52" s="4"/>
      <c r="E52" s="10"/>
      <c r="G52" s="163"/>
    </row>
    <row r="53" spans="1:7" ht="21.75">
      <c r="A53" s="3"/>
      <c r="B53" s="22"/>
      <c r="C53" s="22"/>
      <c r="D53" s="4"/>
      <c r="E53" s="10"/>
      <c r="G53" s="163"/>
    </row>
    <row r="54" spans="1:7" ht="21.75">
      <c r="A54" s="3"/>
      <c r="B54" s="22"/>
      <c r="C54" s="22"/>
      <c r="D54" s="4"/>
      <c r="E54" s="10"/>
      <c r="G54" s="163"/>
    </row>
    <row r="55" spans="1:7" ht="21.75">
      <c r="A55" s="24"/>
      <c r="B55" s="25"/>
      <c r="C55" s="25"/>
      <c r="D55" s="26"/>
      <c r="E55" s="5"/>
      <c r="F55" s="164">
        <f>SUM(F41:F53)</f>
        <v>506966.18</v>
      </c>
      <c r="G55" s="165">
        <f>SUM(G41:G53)</f>
        <v>506966.18</v>
      </c>
    </row>
    <row r="57" ht="21.75">
      <c r="A57" s="11" t="s">
        <v>72</v>
      </c>
    </row>
    <row r="58" ht="21.75">
      <c r="A58" s="11"/>
    </row>
    <row r="59" ht="21.75">
      <c r="C59" s="313" t="s">
        <v>201</v>
      </c>
    </row>
    <row r="60" ht="21.75">
      <c r="B60" t="s">
        <v>202</v>
      </c>
    </row>
    <row r="61" spans="3:6" ht="21.75">
      <c r="C61" s="313" t="s">
        <v>203</v>
      </c>
      <c r="E61"/>
      <c r="F61" s="1"/>
    </row>
    <row r="62" spans="2:6" ht="21.75">
      <c r="B62" t="s">
        <v>204</v>
      </c>
      <c r="E62"/>
      <c r="F62" s="1"/>
    </row>
    <row r="63" spans="3:6" ht="22.5" customHeight="1">
      <c r="C63" s="313" t="s">
        <v>205</v>
      </c>
      <c r="E63"/>
      <c r="F63" s="1"/>
    </row>
    <row r="64" spans="2:6" ht="23.25" customHeight="1">
      <c r="B64" t="s">
        <v>204</v>
      </c>
      <c r="E64"/>
      <c r="F64" s="1"/>
    </row>
    <row r="65" ht="24.75" customHeight="1"/>
    <row r="66" spans="1:7" ht="21.75">
      <c r="A66" s="514" t="s">
        <v>73</v>
      </c>
      <c r="B66" s="515"/>
      <c r="C66" s="516"/>
      <c r="D66" s="27" t="s">
        <v>74</v>
      </c>
      <c r="E66" s="514" t="s">
        <v>75</v>
      </c>
      <c r="F66" s="515"/>
      <c r="G66" s="516"/>
    </row>
    <row r="67" spans="1:7" ht="21.75">
      <c r="A67" s="3"/>
      <c r="B67" s="22"/>
      <c r="C67" s="4"/>
      <c r="D67" s="28"/>
      <c r="E67" s="2"/>
      <c r="F67" s="166"/>
      <c r="G67" s="167"/>
    </row>
    <row r="68" spans="1:7" s="22" customFormat="1" ht="21.75">
      <c r="A68" s="3"/>
      <c r="C68" s="4"/>
      <c r="D68" s="28"/>
      <c r="E68" s="154"/>
      <c r="F68" s="166"/>
      <c r="G68" s="167"/>
    </row>
    <row r="69" spans="1:7" s="25" customFormat="1" ht="21.75">
      <c r="A69" s="24"/>
      <c r="C69" s="26"/>
      <c r="D69" s="30"/>
      <c r="E69" s="8"/>
      <c r="F69" s="168"/>
      <c r="G69" s="169"/>
    </row>
    <row r="70" ht="27.75">
      <c r="D70" s="142" t="s">
        <v>121</v>
      </c>
    </row>
    <row r="71" spans="2:4" ht="21.75">
      <c r="B71" s="1" t="s">
        <v>120</v>
      </c>
      <c r="C71" s="22"/>
      <c r="D71" t="s">
        <v>120</v>
      </c>
    </row>
    <row r="72" spans="3:4" ht="21.75">
      <c r="C72" t="s">
        <v>120</v>
      </c>
      <c r="D72" t="s">
        <v>120</v>
      </c>
    </row>
    <row r="74" ht="21.75">
      <c r="C74" t="s">
        <v>120</v>
      </c>
    </row>
    <row r="75" ht="21.75">
      <c r="C75" t="s">
        <v>120</v>
      </c>
    </row>
  </sheetData>
  <mergeCells count="7">
    <mergeCell ref="E66:G66"/>
    <mergeCell ref="A66:C66"/>
    <mergeCell ref="A40:D40"/>
    <mergeCell ref="A4:D4"/>
    <mergeCell ref="A31:C31"/>
    <mergeCell ref="E31:G31"/>
    <mergeCell ref="B25:H25"/>
  </mergeCells>
  <printOptions/>
  <pageMargins left="0.35433070866141736" right="0.35433070866141736" top="0.984251968503937" bottom="0.5905511811023623" header="0.5118110236220472" footer="0.5118110236220472"/>
  <pageSetup horizontalDpi="180" verticalDpi="180" orientation="portrait" paperSize="9" scale="98" r:id="rId1"/>
  <rowBreaks count="1" manualBreakCount="1">
    <brk id="3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Q297"/>
  <sheetViews>
    <sheetView zoomScale="75" zoomScaleNormal="75" workbookViewId="0" topLeftCell="A3">
      <selection activeCell="H7" sqref="H7"/>
    </sheetView>
  </sheetViews>
  <sheetFormatPr defaultColWidth="9.140625" defaultRowHeight="21.75"/>
  <cols>
    <col min="1" max="2" width="14.7109375" style="58" customWidth="1"/>
    <col min="3" max="3" width="13.7109375" style="61" customWidth="1"/>
    <col min="4" max="4" width="24.28125" style="61" customWidth="1"/>
    <col min="5" max="5" width="7.421875" style="62" customWidth="1"/>
    <col min="6" max="6" width="18.7109375" style="58" customWidth="1"/>
    <col min="7" max="7" width="14.140625" style="58" customWidth="1"/>
    <col min="8" max="8" width="9.140625" style="61" customWidth="1"/>
    <col min="9" max="9" width="13.8515625" style="61" bestFit="1" customWidth="1"/>
    <col min="10" max="10" width="18.421875" style="61" bestFit="1" customWidth="1"/>
    <col min="11" max="11" width="9.140625" style="61" customWidth="1"/>
    <col min="12" max="12" width="11.140625" style="61" bestFit="1" customWidth="1"/>
    <col min="13" max="16384" width="9.140625" style="61" customWidth="1"/>
  </cols>
  <sheetData>
    <row r="1" spans="1:6" ht="21.75">
      <c r="A1" s="124" t="s">
        <v>320</v>
      </c>
      <c r="B1" s="79"/>
      <c r="C1" s="79"/>
      <c r="D1" s="79"/>
      <c r="E1" s="125"/>
      <c r="F1" s="124"/>
    </row>
    <row r="2" spans="1:6" ht="21.75">
      <c r="A2" s="305" t="s">
        <v>321</v>
      </c>
      <c r="B2" s="79"/>
      <c r="C2" s="79"/>
      <c r="D2" s="79"/>
      <c r="E2" s="125"/>
      <c r="F2" s="124"/>
    </row>
    <row r="3" spans="1:6" ht="26.25">
      <c r="A3" s="480" t="s">
        <v>36</v>
      </c>
      <c r="B3" s="480"/>
      <c r="C3" s="480"/>
      <c r="D3" s="480"/>
      <c r="E3" s="480"/>
      <c r="F3" s="480"/>
    </row>
    <row r="4" spans="1:6" ht="26.25">
      <c r="A4" s="479" t="s">
        <v>415</v>
      </c>
      <c r="B4" s="480"/>
      <c r="C4" s="480"/>
      <c r="D4" s="480"/>
      <c r="E4" s="480"/>
      <c r="F4" s="480"/>
    </row>
    <row r="6" spans="1:6" ht="21.75">
      <c r="A6" s="481" t="s">
        <v>7</v>
      </c>
      <c r="B6" s="482"/>
      <c r="C6" s="126"/>
      <c r="D6" s="63"/>
      <c r="E6" s="127" t="s">
        <v>4</v>
      </c>
      <c r="F6" s="128" t="s">
        <v>6</v>
      </c>
    </row>
    <row r="7" spans="1:6" ht="21.75">
      <c r="A7" s="128" t="s">
        <v>0</v>
      </c>
      <c r="B7" s="128" t="s">
        <v>2</v>
      </c>
      <c r="C7" s="82" t="s">
        <v>3</v>
      </c>
      <c r="D7" s="83"/>
      <c r="E7" s="89" t="s">
        <v>5</v>
      </c>
      <c r="F7" s="85" t="s">
        <v>2</v>
      </c>
    </row>
    <row r="8" spans="1:6" ht="21.75">
      <c r="A8" s="130" t="s">
        <v>1</v>
      </c>
      <c r="B8" s="130" t="s">
        <v>1</v>
      </c>
      <c r="C8" s="64"/>
      <c r="D8" s="131"/>
      <c r="E8" s="65"/>
      <c r="F8" s="130" t="s">
        <v>1</v>
      </c>
    </row>
    <row r="9" spans="1:6" ht="21.75">
      <c r="A9" s="321"/>
      <c r="B9" s="279">
        <v>5829391.48</v>
      </c>
      <c r="C9" s="318" t="s">
        <v>8</v>
      </c>
      <c r="D9" s="318"/>
      <c r="E9" s="319"/>
      <c r="F9" s="278">
        <v>12905681.57</v>
      </c>
    </row>
    <row r="10" spans="1:6" ht="21.75">
      <c r="A10" s="132"/>
      <c r="B10" s="133"/>
      <c r="C10" s="134" t="s">
        <v>9</v>
      </c>
      <c r="D10" s="79"/>
      <c r="E10" s="89"/>
      <c r="F10" s="54"/>
    </row>
    <row r="11" spans="1:6" ht="21.75">
      <c r="A11" s="135">
        <v>123000</v>
      </c>
      <c r="B11" s="54">
        <f>81343.34+F11</f>
        <v>88841.48</v>
      </c>
      <c r="C11" s="136" t="s">
        <v>10</v>
      </c>
      <c r="E11" s="84" t="s">
        <v>326</v>
      </c>
      <c r="F11" s="54">
        <f>7006.25+491.89</f>
        <v>7498.14</v>
      </c>
    </row>
    <row r="12" spans="1:6" ht="21.75">
      <c r="A12" s="135">
        <v>115000</v>
      </c>
      <c r="B12" s="54">
        <v>4376</v>
      </c>
      <c r="C12" s="136" t="s">
        <v>13</v>
      </c>
      <c r="E12" s="84" t="s">
        <v>327</v>
      </c>
      <c r="F12" s="54">
        <v>3876</v>
      </c>
    </row>
    <row r="13" spans="1:6" ht="21.75">
      <c r="A13" s="135">
        <v>60000</v>
      </c>
      <c r="B13" s="54">
        <v>10533.91</v>
      </c>
      <c r="C13" s="136" t="s">
        <v>14</v>
      </c>
      <c r="E13" s="84" t="s">
        <v>328</v>
      </c>
      <c r="F13" s="54">
        <v>0</v>
      </c>
    </row>
    <row r="14" spans="1:6" ht="21.75">
      <c r="A14" s="135">
        <v>0</v>
      </c>
      <c r="B14" s="54">
        <v>0</v>
      </c>
      <c r="C14" s="136" t="s">
        <v>15</v>
      </c>
      <c r="E14" s="84" t="s">
        <v>329</v>
      </c>
      <c r="F14" s="54">
        <v>0</v>
      </c>
    </row>
    <row r="15" spans="1:6" ht="21.75">
      <c r="A15" s="135">
        <v>475000</v>
      </c>
      <c r="B15" s="54">
        <v>101500</v>
      </c>
      <c r="C15" s="136" t="s">
        <v>16</v>
      </c>
      <c r="E15" s="84" t="s">
        <v>330</v>
      </c>
      <c r="F15" s="69">
        <v>0</v>
      </c>
    </row>
    <row r="16" spans="1:6" ht="21.75">
      <c r="A16" s="135">
        <v>8227000</v>
      </c>
      <c r="B16" s="54">
        <f>6038118.11+F16</f>
        <v>6401679.62</v>
      </c>
      <c r="C16" s="136" t="s">
        <v>12</v>
      </c>
      <c r="E16" s="89">
        <v>1000</v>
      </c>
      <c r="F16" s="69">
        <f>97902.82+51537.57+158442.12+55679</f>
        <v>363561.51</v>
      </c>
    </row>
    <row r="17" spans="1:6" ht="21.75">
      <c r="A17" s="135">
        <v>8300000</v>
      </c>
      <c r="B17" s="54">
        <v>6759381</v>
      </c>
      <c r="C17" s="136" t="s">
        <v>11</v>
      </c>
      <c r="E17" s="89">
        <v>2000</v>
      </c>
      <c r="F17" s="137">
        <v>0</v>
      </c>
    </row>
    <row r="18" spans="1:6" ht="22.5" thickBot="1">
      <c r="A18" s="394">
        <f>SUM(A9:A17)</f>
        <v>17300000</v>
      </c>
      <c r="B18" s="280">
        <f>B11+B12+B13+B14+B15+B16+B17</f>
        <v>13366312.01</v>
      </c>
      <c r="C18" s="318"/>
      <c r="D18" s="318"/>
      <c r="E18" s="319"/>
      <c r="F18" s="280">
        <f>SUM(F11+F12+F13+F14+F15+F16+F17)</f>
        <v>374935.65</v>
      </c>
    </row>
    <row r="19" spans="1:6" ht="22.5" thickTop="1">
      <c r="A19" s="59"/>
      <c r="B19" s="54">
        <f>345699+F19</f>
        <v>358439.67</v>
      </c>
      <c r="C19" s="61" t="s">
        <v>99</v>
      </c>
      <c r="E19" s="89">
        <v>900</v>
      </c>
      <c r="F19" s="85">
        <f>'หมายเหตุ 2,3 '!E9</f>
        <v>12740.669999999998</v>
      </c>
    </row>
    <row r="20" spans="1:6" ht="21.75">
      <c r="A20" s="59"/>
      <c r="B20" s="54">
        <f>5697225+F20</f>
        <v>5748885</v>
      </c>
      <c r="C20" s="61" t="s">
        <v>319</v>
      </c>
      <c r="E20" s="89">
        <v>3000</v>
      </c>
      <c r="F20" s="85">
        <f>'หมายเหต 6'!F246</f>
        <v>51660</v>
      </c>
    </row>
    <row r="21" spans="1:6" ht="21.75">
      <c r="A21" s="59"/>
      <c r="B21" s="54">
        <v>15046.73</v>
      </c>
      <c r="C21" s="61" t="s">
        <v>100</v>
      </c>
      <c r="E21" s="89"/>
      <c r="F21" s="85">
        <v>0</v>
      </c>
    </row>
    <row r="22" spans="1:6" ht="21.75">
      <c r="A22" s="59"/>
      <c r="B22" s="54"/>
      <c r="C22" s="61" t="s">
        <v>19</v>
      </c>
      <c r="E22" s="84">
        <v>700</v>
      </c>
      <c r="F22" s="85">
        <v>0</v>
      </c>
    </row>
    <row r="23" spans="1:6" ht="21.75">
      <c r="A23" s="59"/>
      <c r="B23" s="54">
        <f>1684000+F23</f>
        <v>2238500</v>
      </c>
      <c r="C23" s="61" t="s">
        <v>362</v>
      </c>
      <c r="E23" s="84"/>
      <c r="F23" s="85">
        <v>554500</v>
      </c>
    </row>
    <row r="24" spans="1:6" ht="21.75">
      <c r="A24" s="59"/>
      <c r="B24" s="54">
        <f>357630+F24</f>
        <v>430610</v>
      </c>
      <c r="C24" s="61" t="s">
        <v>305</v>
      </c>
      <c r="E24" s="84" t="s">
        <v>58</v>
      </c>
      <c r="F24" s="85">
        <v>72980</v>
      </c>
    </row>
    <row r="25" spans="1:6" ht="21.75">
      <c r="A25" s="59"/>
      <c r="B25" s="71">
        <f>B19+B20+B21+B22+B23+B24</f>
        <v>8791481.4</v>
      </c>
      <c r="E25" s="89"/>
      <c r="F25" s="180">
        <f>SUM(F19:F24)</f>
        <v>691880.67</v>
      </c>
    </row>
    <row r="26" spans="1:6" ht="23.25" thickBot="1">
      <c r="A26" s="395"/>
      <c r="B26" s="396">
        <f>+B25+B18</f>
        <v>22157793.41</v>
      </c>
      <c r="C26" s="322" t="s">
        <v>17</v>
      </c>
      <c r="D26" s="318"/>
      <c r="E26" s="323"/>
      <c r="F26" s="292">
        <f>+F25+F18</f>
        <v>1066816.32</v>
      </c>
    </row>
    <row r="27" ht="22.5" thickTop="1"/>
    <row r="35" spans="1:6" ht="21.75">
      <c r="A35" s="124" t="s">
        <v>320</v>
      </c>
      <c r="B35" s="79"/>
      <c r="C35" s="79"/>
      <c r="D35" s="79"/>
      <c r="E35" s="125"/>
      <c r="F35" s="124"/>
    </row>
    <row r="36" spans="1:6" ht="21.75">
      <c r="A36" s="305" t="s">
        <v>321</v>
      </c>
      <c r="B36" s="79"/>
      <c r="C36" s="79"/>
      <c r="D36" s="79"/>
      <c r="E36" s="125"/>
      <c r="F36" s="124"/>
    </row>
    <row r="37" spans="1:6" ht="26.25">
      <c r="A37" s="480" t="s">
        <v>36</v>
      </c>
      <c r="B37" s="480"/>
      <c r="C37" s="480"/>
      <c r="D37" s="480"/>
      <c r="E37" s="480"/>
      <c r="F37" s="480"/>
    </row>
    <row r="38" spans="1:6" ht="26.25">
      <c r="A38" s="479" t="s">
        <v>408</v>
      </c>
      <c r="B38" s="480"/>
      <c r="C38" s="480"/>
      <c r="D38" s="480"/>
      <c r="E38" s="480"/>
      <c r="F38" s="480"/>
    </row>
    <row r="40" spans="1:6" ht="21.75">
      <c r="A40" s="481" t="s">
        <v>7</v>
      </c>
      <c r="B40" s="482"/>
      <c r="C40" s="126"/>
      <c r="D40" s="63"/>
      <c r="E40" s="127" t="s">
        <v>4</v>
      </c>
      <c r="F40" s="128" t="s">
        <v>6</v>
      </c>
    </row>
    <row r="41" spans="1:6" ht="21.75">
      <c r="A41" s="128" t="s">
        <v>0</v>
      </c>
      <c r="B41" s="128" t="s">
        <v>2</v>
      </c>
      <c r="C41" s="82" t="s">
        <v>3</v>
      </c>
      <c r="D41" s="83"/>
      <c r="E41" s="89" t="s">
        <v>5</v>
      </c>
      <c r="F41" s="85" t="s">
        <v>2</v>
      </c>
    </row>
    <row r="42" spans="1:6" ht="21.75">
      <c r="A42" s="130" t="s">
        <v>1</v>
      </c>
      <c r="B42" s="130" t="s">
        <v>1</v>
      </c>
      <c r="C42" s="64"/>
      <c r="D42" s="131"/>
      <c r="E42" s="65"/>
      <c r="F42" s="130" t="s">
        <v>1</v>
      </c>
    </row>
    <row r="43" spans="1:6" ht="21.75">
      <c r="A43" s="321"/>
      <c r="B43" s="279">
        <v>5829391.48</v>
      </c>
      <c r="C43" s="318" t="s">
        <v>8</v>
      </c>
      <c r="D43" s="318"/>
      <c r="E43" s="319"/>
      <c r="F43" s="278">
        <v>11594991.27</v>
      </c>
    </row>
    <row r="44" spans="1:6" ht="21.75">
      <c r="A44" s="132"/>
      <c r="B44" s="133"/>
      <c r="C44" s="134" t="s">
        <v>9</v>
      </c>
      <c r="D44" s="79"/>
      <c r="E44" s="89"/>
      <c r="F44" s="54"/>
    </row>
    <row r="45" spans="1:6" ht="21.75">
      <c r="A45" s="135">
        <v>123000</v>
      </c>
      <c r="B45" s="54">
        <f>79419.81+F45</f>
        <v>81343.34</v>
      </c>
      <c r="C45" s="136" t="s">
        <v>10</v>
      </c>
      <c r="E45" s="84" t="s">
        <v>326</v>
      </c>
      <c r="F45" s="54">
        <v>1923.53</v>
      </c>
    </row>
    <row r="46" spans="1:6" ht="21.75">
      <c r="A46" s="135">
        <v>115000</v>
      </c>
      <c r="B46" s="54">
        <v>500</v>
      </c>
      <c r="C46" s="136" t="s">
        <v>13</v>
      </c>
      <c r="E46" s="84" t="s">
        <v>327</v>
      </c>
      <c r="F46" s="54">
        <v>0</v>
      </c>
    </row>
    <row r="47" spans="1:6" ht="21.75">
      <c r="A47" s="135">
        <v>60000</v>
      </c>
      <c r="B47" s="54">
        <v>10533.91</v>
      </c>
      <c r="C47" s="136" t="s">
        <v>14</v>
      </c>
      <c r="E47" s="84" t="s">
        <v>328</v>
      </c>
      <c r="F47" s="54">
        <v>0</v>
      </c>
    </row>
    <row r="48" spans="1:9" ht="21.75">
      <c r="A48" s="135">
        <v>0</v>
      </c>
      <c r="B48" s="54">
        <v>0</v>
      </c>
      <c r="C48" s="136" t="s">
        <v>15</v>
      </c>
      <c r="E48" s="84" t="s">
        <v>329</v>
      </c>
      <c r="F48" s="54">
        <v>0</v>
      </c>
      <c r="I48" s="450">
        <f>F52+11775888.53</f>
        <v>12991376.36</v>
      </c>
    </row>
    <row r="49" spans="1:6" ht="21.75">
      <c r="A49" s="135">
        <v>475000</v>
      </c>
      <c r="B49" s="54">
        <v>101500</v>
      </c>
      <c r="C49" s="136" t="s">
        <v>16</v>
      </c>
      <c r="E49" s="84" t="s">
        <v>330</v>
      </c>
      <c r="F49" s="69">
        <v>0</v>
      </c>
    </row>
    <row r="50" spans="1:6" ht="21.75">
      <c r="A50" s="135">
        <v>8227000</v>
      </c>
      <c r="B50" s="54">
        <f>4824553.81+F50</f>
        <v>6038118.109999999</v>
      </c>
      <c r="C50" s="136" t="s">
        <v>12</v>
      </c>
      <c r="E50" s="89">
        <v>1000</v>
      </c>
      <c r="F50" s="69">
        <f>818736.56+135684.15+61743.26+188247.27+9153.06</f>
        <v>1213564.3</v>
      </c>
    </row>
    <row r="51" spans="1:10" ht="21.75">
      <c r="A51" s="135">
        <v>8300000</v>
      </c>
      <c r="B51" s="54">
        <v>6759381</v>
      </c>
      <c r="C51" s="136" t="s">
        <v>11</v>
      </c>
      <c r="E51" s="89">
        <v>2000</v>
      </c>
      <c r="F51" s="137">
        <v>0</v>
      </c>
      <c r="J51" s="61">
        <f>6691006.08+1408594.66</f>
        <v>8099600.74</v>
      </c>
    </row>
    <row r="52" spans="1:9" ht="22.5" thickBot="1">
      <c r="A52" s="394">
        <f>SUM(A43:A51)</f>
        <v>17300000</v>
      </c>
      <c r="B52" s="280">
        <f>B45+B46+B47+B48+B49+B50+B51</f>
        <v>12991376.36</v>
      </c>
      <c r="C52" s="318"/>
      <c r="D52" s="318"/>
      <c r="E52" s="319"/>
      <c r="F52" s="280">
        <f>SUM(F45+F46+F47+F48+F49+F50+F51)</f>
        <v>1215487.83</v>
      </c>
      <c r="I52" s="450">
        <f>F59+6691006.08</f>
        <v>8099600.73</v>
      </c>
    </row>
    <row r="53" spans="1:6" ht="22.5" thickTop="1">
      <c r="A53" s="59"/>
      <c r="B53" s="54">
        <f>332109.35+F53</f>
        <v>345699</v>
      </c>
      <c r="C53" s="61" t="s">
        <v>99</v>
      </c>
      <c r="E53" s="89">
        <v>900</v>
      </c>
      <c r="F53" s="85">
        <v>13589.65</v>
      </c>
    </row>
    <row r="54" spans="1:6" ht="21.75">
      <c r="A54" s="59"/>
      <c r="B54" s="54">
        <f>4354168+F54</f>
        <v>5697225</v>
      </c>
      <c r="C54" s="61" t="s">
        <v>319</v>
      </c>
      <c r="E54" s="89">
        <v>3000</v>
      </c>
      <c r="F54" s="85">
        <v>1343057</v>
      </c>
    </row>
    <row r="55" spans="1:6" ht="21.75">
      <c r="A55" s="59"/>
      <c r="B55" s="54">
        <v>15046.73</v>
      </c>
      <c r="C55" s="61" t="s">
        <v>100</v>
      </c>
      <c r="E55" s="89"/>
      <c r="F55" s="85">
        <v>0</v>
      </c>
    </row>
    <row r="56" spans="1:6" ht="21.75">
      <c r="A56" s="59"/>
      <c r="B56" s="54"/>
      <c r="C56" s="61" t="s">
        <v>19</v>
      </c>
      <c r="E56" s="84">
        <v>700</v>
      </c>
      <c r="F56" s="85">
        <v>0</v>
      </c>
    </row>
    <row r="57" spans="1:6" ht="21.75">
      <c r="A57" s="59"/>
      <c r="B57" s="54">
        <f>1634000+F57</f>
        <v>1684000</v>
      </c>
      <c r="C57" s="61" t="s">
        <v>362</v>
      </c>
      <c r="E57" s="84"/>
      <c r="F57" s="85">
        <v>50000</v>
      </c>
    </row>
    <row r="58" spans="1:6" ht="21.75">
      <c r="A58" s="59"/>
      <c r="B58" s="54">
        <v>357630</v>
      </c>
      <c r="C58" s="61" t="s">
        <v>305</v>
      </c>
      <c r="E58" s="84" t="s">
        <v>58</v>
      </c>
      <c r="F58" s="85">
        <v>1948</v>
      </c>
    </row>
    <row r="59" spans="1:6" ht="21.75">
      <c r="A59" s="59"/>
      <c r="B59" s="71">
        <f>B53+B54+B55+B56+B57+B58</f>
        <v>8099600.73</v>
      </c>
      <c r="E59" s="89"/>
      <c r="F59" s="180">
        <f>SUM(F53:F58)</f>
        <v>1408594.65</v>
      </c>
    </row>
    <row r="60" spans="1:6" ht="23.25" thickBot="1">
      <c r="A60" s="395"/>
      <c r="B60" s="396">
        <f>+B59+B52</f>
        <v>21090977.09</v>
      </c>
      <c r="C60" s="322" t="s">
        <v>17</v>
      </c>
      <c r="D60" s="318"/>
      <c r="E60" s="323"/>
      <c r="F60" s="292">
        <f>+F59+F52</f>
        <v>2624082.48</v>
      </c>
    </row>
    <row r="61" ht="22.5" thickTop="1"/>
    <row r="68" spans="1:6" ht="21.75">
      <c r="A68" s="124"/>
      <c r="B68" s="124"/>
      <c r="C68" s="79"/>
      <c r="D68" s="79"/>
      <c r="E68" s="125"/>
      <c r="F68" s="124"/>
    </row>
    <row r="69" spans="1:6" ht="21.75">
      <c r="A69" s="124" t="s">
        <v>320</v>
      </c>
      <c r="B69" s="79"/>
      <c r="C69" s="79"/>
      <c r="D69" s="79"/>
      <c r="E69" s="125"/>
      <c r="F69" s="124"/>
    </row>
    <row r="70" spans="1:6" ht="21.75">
      <c r="A70" s="305" t="s">
        <v>321</v>
      </c>
      <c r="B70" s="79"/>
      <c r="C70" s="79"/>
      <c r="D70" s="79"/>
      <c r="E70" s="125"/>
      <c r="F70" s="124"/>
    </row>
    <row r="71" spans="1:6" ht="26.25">
      <c r="A71" s="480" t="s">
        <v>36</v>
      </c>
      <c r="B71" s="480"/>
      <c r="C71" s="480"/>
      <c r="D71" s="480"/>
      <c r="E71" s="480"/>
      <c r="F71" s="480"/>
    </row>
    <row r="72" spans="1:6" ht="26.25">
      <c r="A72" s="479" t="s">
        <v>406</v>
      </c>
      <c r="B72" s="480"/>
      <c r="C72" s="480"/>
      <c r="D72" s="480"/>
      <c r="E72" s="480"/>
      <c r="F72" s="480"/>
    </row>
    <row r="74" spans="1:6" ht="21.75">
      <c r="A74" s="481" t="s">
        <v>7</v>
      </c>
      <c r="B74" s="482"/>
      <c r="C74" s="126"/>
      <c r="D74" s="63"/>
      <c r="E74" s="127" t="s">
        <v>4</v>
      </c>
      <c r="F74" s="128" t="s">
        <v>6</v>
      </c>
    </row>
    <row r="75" spans="1:6" ht="21.75">
      <c r="A75" s="128" t="s">
        <v>0</v>
      </c>
      <c r="B75" s="128" t="s">
        <v>2</v>
      </c>
      <c r="C75" s="82" t="s">
        <v>3</v>
      </c>
      <c r="D75" s="83"/>
      <c r="E75" s="89" t="s">
        <v>5</v>
      </c>
      <c r="F75" s="85" t="s">
        <v>2</v>
      </c>
    </row>
    <row r="76" spans="1:6" ht="21.75">
      <c r="A76" s="130" t="s">
        <v>1</v>
      </c>
      <c r="B76" s="130" t="s">
        <v>1</v>
      </c>
      <c r="C76" s="64"/>
      <c r="D76" s="131"/>
      <c r="E76" s="65"/>
      <c r="F76" s="130" t="s">
        <v>1</v>
      </c>
    </row>
    <row r="77" spans="1:6" ht="21.75">
      <c r="A77" s="321"/>
      <c r="B77" s="279">
        <v>5829391.48</v>
      </c>
      <c r="C77" s="318" t="s">
        <v>8</v>
      </c>
      <c r="D77" s="318"/>
      <c r="E77" s="319"/>
      <c r="F77" s="278">
        <v>12718122.36</v>
      </c>
    </row>
    <row r="78" spans="1:6" ht="21.75">
      <c r="A78" s="132"/>
      <c r="B78" s="133"/>
      <c r="C78" s="134" t="s">
        <v>9</v>
      </c>
      <c r="D78" s="79"/>
      <c r="E78" s="89"/>
      <c r="F78" s="54"/>
    </row>
    <row r="79" spans="1:6" ht="21.75">
      <c r="A79" s="135">
        <v>123000</v>
      </c>
      <c r="B79" s="54">
        <v>79419.81</v>
      </c>
      <c r="C79" s="136" t="s">
        <v>10</v>
      </c>
      <c r="E79" s="84" t="s">
        <v>326</v>
      </c>
      <c r="F79" s="54">
        <v>8926.1</v>
      </c>
    </row>
    <row r="80" spans="1:6" ht="21.75">
      <c r="A80" s="135">
        <v>115000</v>
      </c>
      <c r="B80" s="54">
        <v>500</v>
      </c>
      <c r="C80" s="136" t="s">
        <v>13</v>
      </c>
      <c r="E80" s="84" t="s">
        <v>327</v>
      </c>
      <c r="F80" s="54">
        <v>0</v>
      </c>
    </row>
    <row r="81" spans="1:6" ht="21.75">
      <c r="A81" s="135">
        <v>60000</v>
      </c>
      <c r="B81" s="54">
        <v>10533.91</v>
      </c>
      <c r="C81" s="136" t="s">
        <v>14</v>
      </c>
      <c r="E81" s="84" t="s">
        <v>328</v>
      </c>
      <c r="F81" s="54">
        <v>0</v>
      </c>
    </row>
    <row r="82" spans="1:6" ht="21.75">
      <c r="A82" s="135">
        <v>0</v>
      </c>
      <c r="B82" s="54">
        <v>0</v>
      </c>
      <c r="C82" s="136" t="s">
        <v>15</v>
      </c>
      <c r="E82" s="84" t="s">
        <v>329</v>
      </c>
      <c r="F82" s="54">
        <v>0</v>
      </c>
    </row>
    <row r="83" spans="1:6" ht="21.75">
      <c r="A83" s="135">
        <v>475000</v>
      </c>
      <c r="B83" s="54">
        <v>101500</v>
      </c>
      <c r="C83" s="136" t="s">
        <v>16</v>
      </c>
      <c r="E83" s="84" t="s">
        <v>330</v>
      </c>
      <c r="F83" s="69">
        <v>0</v>
      </c>
    </row>
    <row r="84" spans="1:6" ht="21.75">
      <c r="A84" s="135">
        <v>8227000</v>
      </c>
      <c r="B84" s="54">
        <v>4824553.81</v>
      </c>
      <c r="C84" s="136" t="s">
        <v>12</v>
      </c>
      <c r="E84" s="89">
        <v>1000</v>
      </c>
      <c r="F84" s="69">
        <f>81113.12+4727.19+83118.56+180142.93</f>
        <v>349101.8</v>
      </c>
    </row>
    <row r="85" spans="1:6" ht="21.75">
      <c r="A85" s="135">
        <v>8300000</v>
      </c>
      <c r="B85" s="54">
        <v>6759381</v>
      </c>
      <c r="C85" s="136" t="s">
        <v>11</v>
      </c>
      <c r="E85" s="89">
        <v>2000</v>
      </c>
      <c r="F85" s="137">
        <v>0</v>
      </c>
    </row>
    <row r="86" spans="1:6" ht="22.5" thickBot="1">
      <c r="A86" s="394">
        <f>SUM(A77:A85)</f>
        <v>17300000</v>
      </c>
      <c r="B86" s="280">
        <f>B79+B80+B81+B82+B83+B84+B85</f>
        <v>11775888.53</v>
      </c>
      <c r="C86" s="318"/>
      <c r="D86" s="318"/>
      <c r="E86" s="319"/>
      <c r="F86" s="280">
        <f>SUM(F79+F80+F81+F82+F83+F84+F85)</f>
        <v>358027.89999999997</v>
      </c>
    </row>
    <row r="87" spans="1:6" ht="22.5" thickTop="1">
      <c r="A87" s="59"/>
      <c r="B87" s="54">
        <v>332109.35</v>
      </c>
      <c r="C87" s="61" t="s">
        <v>99</v>
      </c>
      <c r="E87" s="89">
        <v>900</v>
      </c>
      <c r="F87" s="85">
        <f>'หมายเหตุ 2,3 '!E76</f>
        <v>30102.97</v>
      </c>
    </row>
    <row r="88" spans="1:6" ht="21.75">
      <c r="A88" s="59"/>
      <c r="B88" s="54">
        <v>4354168</v>
      </c>
      <c r="C88" s="61" t="s">
        <v>319</v>
      </c>
      <c r="E88" s="89">
        <v>3000</v>
      </c>
      <c r="F88" s="85">
        <f>'หมายเหต 6'!F147</f>
        <v>301660</v>
      </c>
    </row>
    <row r="89" spans="1:6" ht="21.75">
      <c r="A89" s="59"/>
      <c r="B89" s="54">
        <v>15046.73</v>
      </c>
      <c r="C89" s="61" t="s">
        <v>100</v>
      </c>
      <c r="E89" s="89"/>
      <c r="F89" s="85">
        <v>0</v>
      </c>
    </row>
    <row r="90" spans="1:6" ht="21.75">
      <c r="A90" s="59"/>
      <c r="B90" s="54"/>
      <c r="C90" s="61" t="s">
        <v>19</v>
      </c>
      <c r="E90" s="84">
        <v>700</v>
      </c>
      <c r="F90" s="85">
        <v>0</v>
      </c>
    </row>
    <row r="91" spans="1:6" ht="21.75">
      <c r="A91" s="59"/>
      <c r="B91" s="54">
        <v>1634000</v>
      </c>
      <c r="C91" s="61" t="s">
        <v>362</v>
      </c>
      <c r="E91" s="84"/>
      <c r="F91" s="85">
        <v>228000</v>
      </c>
    </row>
    <row r="92" spans="1:6" ht="21.75">
      <c r="A92" s="59"/>
      <c r="B92" s="54">
        <v>355682</v>
      </c>
      <c r="C92" s="61" t="s">
        <v>305</v>
      </c>
      <c r="E92" s="84" t="s">
        <v>58</v>
      </c>
      <c r="F92" s="85">
        <v>3200</v>
      </c>
    </row>
    <row r="93" spans="1:6" ht="21.75">
      <c r="A93" s="59"/>
      <c r="B93" s="71">
        <f>SUM(B87:B92)</f>
        <v>6691006.08</v>
      </c>
      <c r="E93" s="89"/>
      <c r="F93" s="180">
        <f>SUM(F87:F92)</f>
        <v>562962.97</v>
      </c>
    </row>
    <row r="94" spans="1:6" ht="23.25" thickBot="1">
      <c r="A94" s="395"/>
      <c r="B94" s="396">
        <f>+B93+B86</f>
        <v>18466894.61</v>
      </c>
      <c r="C94" s="322" t="s">
        <v>17</v>
      </c>
      <c r="D94" s="318"/>
      <c r="E94" s="323"/>
      <c r="F94" s="292">
        <f>+F93+F86</f>
        <v>920990.8699999999</v>
      </c>
    </row>
    <row r="95" ht="22.5" thickTop="1"/>
    <row r="102" spans="1:6" ht="21.75">
      <c r="A102" s="124" t="s">
        <v>320</v>
      </c>
      <c r="B102" s="79"/>
      <c r="C102" s="79"/>
      <c r="D102" s="79"/>
      <c r="E102" s="125"/>
      <c r="F102" s="124"/>
    </row>
    <row r="103" spans="1:6" ht="21.75">
      <c r="A103" s="305" t="s">
        <v>321</v>
      </c>
      <c r="B103" s="79"/>
      <c r="C103" s="79"/>
      <c r="D103" s="79"/>
      <c r="E103" s="125"/>
      <c r="F103" s="124"/>
    </row>
    <row r="104" spans="1:6" ht="21.75">
      <c r="A104" s="124"/>
      <c r="B104" s="124"/>
      <c r="C104" s="79"/>
      <c r="D104" s="79"/>
      <c r="E104" s="125"/>
      <c r="F104" s="124"/>
    </row>
    <row r="105" spans="1:6" ht="26.25">
      <c r="A105" s="480" t="s">
        <v>36</v>
      </c>
      <c r="B105" s="480"/>
      <c r="C105" s="480"/>
      <c r="D105" s="480"/>
      <c r="E105" s="480"/>
      <c r="F105" s="480"/>
    </row>
    <row r="106" spans="1:6" ht="26.25">
      <c r="A106" s="479" t="s">
        <v>399</v>
      </c>
      <c r="B106" s="480"/>
      <c r="C106" s="480"/>
      <c r="D106" s="480"/>
      <c r="E106" s="480"/>
      <c r="F106" s="480"/>
    </row>
    <row r="108" spans="1:6" ht="21.75">
      <c r="A108" s="481" t="s">
        <v>7</v>
      </c>
      <c r="B108" s="482"/>
      <c r="C108" s="126"/>
      <c r="D108" s="63"/>
      <c r="E108" s="127" t="s">
        <v>4</v>
      </c>
      <c r="F108" s="128" t="s">
        <v>6</v>
      </c>
    </row>
    <row r="109" spans="1:6" ht="21.75">
      <c r="A109" s="128" t="s">
        <v>0</v>
      </c>
      <c r="B109" s="128" t="s">
        <v>2</v>
      </c>
      <c r="C109" s="82" t="s">
        <v>3</v>
      </c>
      <c r="D109" s="83"/>
      <c r="E109" s="89" t="s">
        <v>5</v>
      </c>
      <c r="F109" s="85" t="s">
        <v>2</v>
      </c>
    </row>
    <row r="110" spans="1:6" ht="21.75">
      <c r="A110" s="130" t="s">
        <v>1</v>
      </c>
      <c r="B110" s="130" t="s">
        <v>1</v>
      </c>
      <c r="C110" s="64"/>
      <c r="D110" s="131"/>
      <c r="E110" s="65"/>
      <c r="F110" s="130" t="s">
        <v>1</v>
      </c>
    </row>
    <row r="111" spans="1:6" ht="21.75">
      <c r="A111" s="321"/>
      <c r="B111" s="279">
        <v>5829391.48</v>
      </c>
      <c r="C111" s="318" t="s">
        <v>8</v>
      </c>
      <c r="D111" s="318"/>
      <c r="E111" s="319"/>
      <c r="F111" s="278">
        <v>11278739.16</v>
      </c>
    </row>
    <row r="112" spans="1:6" ht="21.75">
      <c r="A112" s="132"/>
      <c r="B112" s="133"/>
      <c r="C112" s="134" t="s">
        <v>9</v>
      </c>
      <c r="D112" s="79"/>
      <c r="E112" s="89"/>
      <c r="F112" s="54"/>
    </row>
    <row r="113" spans="1:6" ht="21.75">
      <c r="A113" s="135">
        <v>123000</v>
      </c>
      <c r="B113" s="54">
        <f>50508.02+F113</f>
        <v>70493.70999999999</v>
      </c>
      <c r="C113" s="136" t="s">
        <v>10</v>
      </c>
      <c r="E113" s="84" t="s">
        <v>326</v>
      </c>
      <c r="F113" s="54">
        <f>12325+7060.69+600</f>
        <v>19985.69</v>
      </c>
    </row>
    <row r="114" spans="1:6" ht="21.75">
      <c r="A114" s="135">
        <v>115000</v>
      </c>
      <c r="B114" s="54">
        <v>500</v>
      </c>
      <c r="C114" s="136" t="s">
        <v>13</v>
      </c>
      <c r="E114" s="84" t="s">
        <v>327</v>
      </c>
      <c r="F114" s="54">
        <v>0</v>
      </c>
    </row>
    <row r="115" spans="1:6" ht="21.75">
      <c r="A115" s="135">
        <v>60000</v>
      </c>
      <c r="B115" s="54">
        <f>418.24+F115</f>
        <v>10533.91</v>
      </c>
      <c r="C115" s="136" t="s">
        <v>14</v>
      </c>
      <c r="E115" s="84" t="s">
        <v>328</v>
      </c>
      <c r="F115" s="54">
        <v>10115.67</v>
      </c>
    </row>
    <row r="116" spans="1:6" ht="21.75">
      <c r="A116" s="135">
        <v>0</v>
      </c>
      <c r="B116" s="54">
        <v>0</v>
      </c>
      <c r="C116" s="136" t="s">
        <v>15</v>
      </c>
      <c r="E116" s="84" t="s">
        <v>329</v>
      </c>
      <c r="F116" s="54">
        <v>0</v>
      </c>
    </row>
    <row r="117" spans="1:6" ht="21.75">
      <c r="A117" s="135">
        <v>475000</v>
      </c>
      <c r="B117" s="54">
        <f>11500+F117</f>
        <v>101500</v>
      </c>
      <c r="C117" s="136" t="s">
        <v>16</v>
      </c>
      <c r="E117" s="84" t="s">
        <v>330</v>
      </c>
      <c r="F117" s="69">
        <v>90000</v>
      </c>
    </row>
    <row r="118" spans="1:6" ht="21.75">
      <c r="A118" s="135">
        <v>8227000</v>
      </c>
      <c r="B118" s="54">
        <f>3242776.37+F118</f>
        <v>4475452.01</v>
      </c>
      <c r="C118" s="136" t="s">
        <v>12</v>
      </c>
      <c r="E118" s="89">
        <v>1000</v>
      </c>
      <c r="F118" s="69">
        <f>783627.57+156330.78+64023.23+156399.77+23755.2+8556.09+39983</f>
        <v>1232675.64</v>
      </c>
    </row>
    <row r="119" spans="1:6" ht="21.75">
      <c r="A119" s="135">
        <v>8300000</v>
      </c>
      <c r="B119" s="54">
        <v>6759381</v>
      </c>
      <c r="C119" s="136" t="s">
        <v>11</v>
      </c>
      <c r="E119" s="89">
        <v>2000</v>
      </c>
      <c r="F119" s="137">
        <v>0</v>
      </c>
    </row>
    <row r="120" spans="1:6" ht="22.5" thickBot="1">
      <c r="A120" s="394">
        <f>SUM(A111:A119)</f>
        <v>17300000</v>
      </c>
      <c r="B120" s="280">
        <f>B113+B114+B115+B116+B117+B118+B119</f>
        <v>11417860.629999999</v>
      </c>
      <c r="C120" s="318"/>
      <c r="D120" s="318"/>
      <c r="E120" s="319"/>
      <c r="F120" s="280">
        <f>SUM(F113+F114+F115+F116+F117+F118+F119)</f>
        <v>1352777</v>
      </c>
    </row>
    <row r="121" spans="1:6" ht="22.5" thickTop="1">
      <c r="A121" s="59"/>
      <c r="B121" s="54">
        <f>64694.82+F121</f>
        <v>302006.38</v>
      </c>
      <c r="C121" s="61" t="s">
        <v>99</v>
      </c>
      <c r="E121" s="89">
        <v>900</v>
      </c>
      <c r="F121" s="85">
        <v>237311.56</v>
      </c>
    </row>
    <row r="122" spans="1:6" ht="21.75">
      <c r="A122" s="59"/>
      <c r="B122" s="54">
        <f>3287348+F122</f>
        <v>4052508</v>
      </c>
      <c r="C122" s="61" t="s">
        <v>319</v>
      </c>
      <c r="E122" s="89">
        <v>3000</v>
      </c>
      <c r="F122" s="85">
        <v>765160</v>
      </c>
    </row>
    <row r="123" spans="1:6" ht="21.75">
      <c r="A123" s="59"/>
      <c r="B123" s="54">
        <v>15046.73</v>
      </c>
      <c r="C123" s="61" t="s">
        <v>100</v>
      </c>
      <c r="E123" s="89"/>
      <c r="F123" s="85">
        <v>0</v>
      </c>
    </row>
    <row r="124" spans="1:6" ht="21.75">
      <c r="A124" s="59"/>
      <c r="B124" s="54"/>
      <c r="C124" s="61" t="s">
        <v>19</v>
      </c>
      <c r="E124" s="84">
        <v>700</v>
      </c>
      <c r="F124" s="85">
        <v>0</v>
      </c>
    </row>
    <row r="125" spans="1:6" ht="21.75">
      <c r="A125" s="59"/>
      <c r="B125" s="54">
        <f>1177500+228500</f>
        <v>1406000</v>
      </c>
      <c r="C125" s="61" t="s">
        <v>362</v>
      </c>
      <c r="E125" s="84"/>
      <c r="F125" s="85">
        <v>228500</v>
      </c>
    </row>
    <row r="126" spans="1:6" ht="21.75">
      <c r="A126" s="59"/>
      <c r="B126" s="54">
        <f>151842+200640</f>
        <v>352482</v>
      </c>
      <c r="C126" s="61" t="s">
        <v>305</v>
      </c>
      <c r="E126" s="84" t="s">
        <v>58</v>
      </c>
      <c r="F126" s="85">
        <f>3326+16590+5510+4570+5600+49630+1790+15462+4900+4570+14842+16420+17420+16590+4070+10700+8650</f>
        <v>200640</v>
      </c>
    </row>
    <row r="127" spans="1:6" ht="21.75">
      <c r="A127" s="59"/>
      <c r="B127" s="71">
        <f>SUM(B121:B126)</f>
        <v>6128043.11</v>
      </c>
      <c r="E127" s="89"/>
      <c r="F127" s="180">
        <f>SUM(F121:F126)</f>
        <v>1431611.56</v>
      </c>
    </row>
    <row r="128" spans="1:6" ht="23.25" thickBot="1">
      <c r="A128" s="395"/>
      <c r="B128" s="396">
        <f>+B127+B120</f>
        <v>17545903.74</v>
      </c>
      <c r="C128" s="322" t="s">
        <v>17</v>
      </c>
      <c r="D128" s="318"/>
      <c r="E128" s="323"/>
      <c r="F128" s="292">
        <f>+F127+F120</f>
        <v>2784388.56</v>
      </c>
    </row>
    <row r="129" ht="22.5" thickTop="1"/>
    <row r="136" spans="1:6" ht="21.75">
      <c r="A136" s="124" t="s">
        <v>320</v>
      </c>
      <c r="B136" s="79"/>
      <c r="C136" s="79"/>
      <c r="D136" s="79"/>
      <c r="E136" s="125"/>
      <c r="F136" s="124"/>
    </row>
    <row r="137" spans="1:6" ht="21.75">
      <c r="A137" s="305" t="s">
        <v>321</v>
      </c>
      <c r="B137" s="79"/>
      <c r="C137" s="79"/>
      <c r="D137" s="79"/>
      <c r="E137" s="125"/>
      <c r="F137" s="124"/>
    </row>
    <row r="138" spans="1:6" ht="21.75">
      <c r="A138" s="124"/>
      <c r="B138" s="124"/>
      <c r="C138" s="79"/>
      <c r="D138" s="79"/>
      <c r="E138" s="125"/>
      <c r="F138" s="124"/>
    </row>
    <row r="139" spans="1:6" ht="26.25">
      <c r="A139" s="480" t="s">
        <v>36</v>
      </c>
      <c r="B139" s="480"/>
      <c r="C139" s="480"/>
      <c r="D139" s="480"/>
      <c r="E139" s="480"/>
      <c r="F139" s="480"/>
    </row>
    <row r="140" spans="1:6" ht="26.25">
      <c r="A140" s="479" t="s">
        <v>392</v>
      </c>
      <c r="B140" s="480"/>
      <c r="C140" s="480"/>
      <c r="D140" s="480"/>
      <c r="E140" s="480"/>
      <c r="F140" s="480"/>
    </row>
    <row r="142" spans="1:6" ht="21.75">
      <c r="A142" s="481" t="s">
        <v>7</v>
      </c>
      <c r="B142" s="482"/>
      <c r="C142" s="126"/>
      <c r="D142" s="63"/>
      <c r="E142" s="127" t="s">
        <v>4</v>
      </c>
      <c r="F142" s="128" t="s">
        <v>6</v>
      </c>
    </row>
    <row r="143" spans="1:6" ht="21.75">
      <c r="A143" s="128" t="s">
        <v>0</v>
      </c>
      <c r="B143" s="128" t="s">
        <v>2</v>
      </c>
      <c r="C143" s="82" t="s">
        <v>3</v>
      </c>
      <c r="D143" s="83"/>
      <c r="E143" s="89" t="s">
        <v>5</v>
      </c>
      <c r="F143" s="85" t="s">
        <v>2</v>
      </c>
    </row>
    <row r="144" spans="1:6" ht="21.75">
      <c r="A144" s="130" t="s">
        <v>1</v>
      </c>
      <c r="B144" s="130" t="s">
        <v>1</v>
      </c>
      <c r="C144" s="64"/>
      <c r="D144" s="131"/>
      <c r="E144" s="65"/>
      <c r="F144" s="130" t="s">
        <v>1</v>
      </c>
    </row>
    <row r="145" spans="1:6" ht="21.75">
      <c r="A145" s="321"/>
      <c r="B145" s="279">
        <v>5829391.48</v>
      </c>
      <c r="C145" s="318" t="s">
        <v>8</v>
      </c>
      <c r="D145" s="318"/>
      <c r="E145" s="319"/>
      <c r="F145" s="278">
        <v>7519322.57</v>
      </c>
    </row>
    <row r="146" spans="1:6" ht="21.75">
      <c r="A146" s="132"/>
      <c r="B146" s="133"/>
      <c r="C146" s="134" t="s">
        <v>9</v>
      </c>
      <c r="D146" s="79"/>
      <c r="E146" s="89"/>
      <c r="F146" s="54"/>
    </row>
    <row r="147" spans="1:6" ht="21.75">
      <c r="A147" s="135">
        <v>123000</v>
      </c>
      <c r="B147" s="54">
        <f>F147+B181</f>
        <v>11545.32</v>
      </c>
      <c r="C147" s="136" t="s">
        <v>10</v>
      </c>
      <c r="E147" s="84" t="s">
        <v>326</v>
      </c>
      <c r="F147" s="54">
        <v>3614.7</v>
      </c>
    </row>
    <row r="148" spans="1:6" ht="21.75">
      <c r="A148" s="135">
        <v>115000</v>
      </c>
      <c r="B148" s="54">
        <v>400</v>
      </c>
      <c r="C148" s="136" t="s">
        <v>13</v>
      </c>
      <c r="E148" s="84" t="s">
        <v>327</v>
      </c>
      <c r="F148" s="54">
        <v>0</v>
      </c>
    </row>
    <row r="149" spans="1:6" ht="21.75">
      <c r="A149" s="135">
        <v>60000</v>
      </c>
      <c r="B149" s="54">
        <v>418.24</v>
      </c>
      <c r="C149" s="136" t="s">
        <v>14</v>
      </c>
      <c r="E149" s="84" t="s">
        <v>328</v>
      </c>
      <c r="F149" s="54">
        <v>418.24</v>
      </c>
    </row>
    <row r="150" spans="1:6" ht="21.75">
      <c r="A150" s="135">
        <v>0</v>
      </c>
      <c r="B150" s="54">
        <v>0</v>
      </c>
      <c r="C150" s="136" t="s">
        <v>15</v>
      </c>
      <c r="E150" s="84" t="s">
        <v>329</v>
      </c>
      <c r="F150" s="54">
        <v>0</v>
      </c>
    </row>
    <row r="151" spans="1:6" ht="21.75">
      <c r="A151" s="135">
        <v>475000</v>
      </c>
      <c r="B151" s="54">
        <v>1000</v>
      </c>
      <c r="C151" s="136" t="s">
        <v>16</v>
      </c>
      <c r="E151" s="84" t="s">
        <v>330</v>
      </c>
      <c r="F151" s="69">
        <v>1000</v>
      </c>
    </row>
    <row r="152" spans="1:6" ht="21.75">
      <c r="A152" s="135">
        <v>8227000</v>
      </c>
      <c r="B152" s="54">
        <f>F152+B186</f>
        <v>2889906.7</v>
      </c>
      <c r="C152" s="136" t="s">
        <v>12</v>
      </c>
      <c r="E152" s="89">
        <v>1000</v>
      </c>
      <c r="F152" s="69">
        <f>L149</f>
        <v>0</v>
      </c>
    </row>
    <row r="153" spans="1:6" ht="21.75">
      <c r="A153" s="135">
        <v>8300000</v>
      </c>
      <c r="B153" s="54">
        <v>2151806</v>
      </c>
      <c r="C153" s="136" t="s">
        <v>11</v>
      </c>
      <c r="E153" s="89">
        <v>2000</v>
      </c>
      <c r="F153" s="137">
        <v>0</v>
      </c>
    </row>
    <row r="154" spans="1:6" ht="22.5" thickBot="1">
      <c r="A154" s="394">
        <f>SUM(A145:A153)</f>
        <v>17300000</v>
      </c>
      <c r="B154" s="280">
        <f>F154+B188</f>
        <v>5056494.5</v>
      </c>
      <c r="C154" s="318"/>
      <c r="D154" s="318"/>
      <c r="E154" s="319"/>
      <c r="F154" s="280">
        <f>SUM(F147+F148+F149+F150+F151+F152+F153)</f>
        <v>5032.94</v>
      </c>
    </row>
    <row r="155" spans="1:6" ht="22.5" thickTop="1">
      <c r="A155" s="59"/>
      <c r="B155" s="54">
        <f>F155+B189</f>
        <v>59650.04999999999</v>
      </c>
      <c r="C155" s="61" t="s">
        <v>99</v>
      </c>
      <c r="E155" s="89">
        <v>900</v>
      </c>
      <c r="F155" s="85">
        <f>'หมายเหตุ 2,3 '!E141</f>
        <v>20197.26</v>
      </c>
    </row>
    <row r="156" spans="1:6" ht="21.75">
      <c r="A156" s="59"/>
      <c r="B156" s="54">
        <f>F156+B190</f>
        <v>3184028</v>
      </c>
      <c r="C156" s="61" t="s">
        <v>319</v>
      </c>
      <c r="E156" s="89">
        <v>3000</v>
      </c>
      <c r="F156" s="85">
        <f>'หมายเหต 6'!F47</f>
        <v>0</v>
      </c>
    </row>
    <row r="157" spans="1:6" ht="21.75">
      <c r="A157" s="59"/>
      <c r="B157" s="54">
        <v>15046.73</v>
      </c>
      <c r="C157" s="61" t="s">
        <v>100</v>
      </c>
      <c r="E157" s="89"/>
      <c r="F157" s="85">
        <v>0</v>
      </c>
    </row>
    <row r="158" spans="1:6" ht="21.75">
      <c r="A158" s="59"/>
      <c r="B158" s="54"/>
      <c r="C158" s="61" t="s">
        <v>19</v>
      </c>
      <c r="E158" s="84">
        <v>700</v>
      </c>
      <c r="F158" s="85">
        <v>0</v>
      </c>
    </row>
    <row r="159" spans="1:6" ht="21.75">
      <c r="A159" s="59"/>
      <c r="B159" s="54">
        <f>F159+B193</f>
        <v>1177500</v>
      </c>
      <c r="C159" s="61" t="s">
        <v>362</v>
      </c>
      <c r="E159" s="84"/>
      <c r="F159" s="85">
        <v>235000</v>
      </c>
    </row>
    <row r="160" spans="1:6" ht="21.75">
      <c r="A160" s="59"/>
      <c r="B160" s="54">
        <f>F160+B194</f>
        <v>101932</v>
      </c>
      <c r="C160" s="61" t="s">
        <v>305</v>
      </c>
      <c r="E160" s="84" t="s">
        <v>58</v>
      </c>
      <c r="F160" s="85">
        <v>23290</v>
      </c>
    </row>
    <row r="161" spans="1:6" ht="21.75">
      <c r="A161" s="59"/>
      <c r="B161" s="71">
        <f>SUM(B155:B160)</f>
        <v>4538156.779999999</v>
      </c>
      <c r="E161" s="89"/>
      <c r="F161" s="180">
        <f>SUM(F155:F160)</f>
        <v>278487.26</v>
      </c>
    </row>
    <row r="162" spans="1:6" ht="23.25" thickBot="1">
      <c r="A162" s="395"/>
      <c r="B162" s="396">
        <f>+B161+B154</f>
        <v>9594651.28</v>
      </c>
      <c r="C162" s="322" t="s">
        <v>17</v>
      </c>
      <c r="D162" s="318"/>
      <c r="E162" s="323"/>
      <c r="F162" s="292">
        <f>+F161+F154</f>
        <v>283520.2</v>
      </c>
    </row>
    <row r="163" ht="22.5" thickTop="1"/>
    <row r="170" spans="1:6" ht="21.75">
      <c r="A170" s="124" t="s">
        <v>320</v>
      </c>
      <c r="B170" s="79"/>
      <c r="C170" s="79"/>
      <c r="D170" s="79"/>
      <c r="E170" s="125"/>
      <c r="F170" s="124"/>
    </row>
    <row r="171" spans="1:6" ht="21.75">
      <c r="A171" s="305" t="s">
        <v>321</v>
      </c>
      <c r="B171" s="79"/>
      <c r="C171" s="79"/>
      <c r="D171" s="79"/>
      <c r="E171" s="125"/>
      <c r="F171" s="124"/>
    </row>
    <row r="172" spans="1:6" ht="21.75">
      <c r="A172" s="124"/>
      <c r="B172" s="124"/>
      <c r="C172" s="79"/>
      <c r="D172" s="79"/>
      <c r="E172" s="125"/>
      <c r="F172" s="124"/>
    </row>
    <row r="173" spans="1:6" ht="26.25">
      <c r="A173" s="480" t="s">
        <v>36</v>
      </c>
      <c r="B173" s="480"/>
      <c r="C173" s="480"/>
      <c r="D173" s="480"/>
      <c r="E173" s="480"/>
      <c r="F173" s="480"/>
    </row>
    <row r="174" spans="1:6" ht="26.25">
      <c r="A174" s="479" t="s">
        <v>379</v>
      </c>
      <c r="B174" s="480"/>
      <c r="C174" s="480"/>
      <c r="D174" s="480"/>
      <c r="E174" s="480"/>
      <c r="F174" s="480"/>
    </row>
    <row r="176" spans="1:6" ht="21.75">
      <c r="A176" s="481" t="s">
        <v>7</v>
      </c>
      <c r="B176" s="482"/>
      <c r="C176" s="126"/>
      <c r="D176" s="63"/>
      <c r="E176" s="127" t="s">
        <v>4</v>
      </c>
      <c r="F176" s="128" t="s">
        <v>6</v>
      </c>
    </row>
    <row r="177" spans="1:6" ht="21.75">
      <c r="A177" s="128" t="s">
        <v>0</v>
      </c>
      <c r="B177" s="128" t="s">
        <v>2</v>
      </c>
      <c r="C177" s="82" t="s">
        <v>3</v>
      </c>
      <c r="D177" s="83"/>
      <c r="E177" s="89" t="s">
        <v>5</v>
      </c>
      <c r="F177" s="85" t="s">
        <v>2</v>
      </c>
    </row>
    <row r="178" spans="1:6" ht="21.75">
      <c r="A178" s="130" t="s">
        <v>1</v>
      </c>
      <c r="B178" s="130" t="s">
        <v>1</v>
      </c>
      <c r="C178" s="64"/>
      <c r="D178" s="131"/>
      <c r="E178" s="65"/>
      <c r="F178" s="130" t="s">
        <v>1</v>
      </c>
    </row>
    <row r="179" spans="1:6" ht="21.75">
      <c r="A179" s="321"/>
      <c r="B179" s="279">
        <v>5829391.48</v>
      </c>
      <c r="C179" s="318" t="s">
        <v>8</v>
      </c>
      <c r="D179" s="318"/>
      <c r="E179" s="319"/>
      <c r="F179" s="278">
        <v>8245487.94</v>
      </c>
    </row>
    <row r="180" spans="1:17" ht="21.75">
      <c r="A180" s="132"/>
      <c r="B180" s="133"/>
      <c r="C180" s="134" t="s">
        <v>9</v>
      </c>
      <c r="D180" s="79"/>
      <c r="E180" s="89"/>
      <c r="F180" s="54"/>
      <c r="I180" s="58">
        <v>8844.32</v>
      </c>
      <c r="J180" s="58">
        <v>2111.5</v>
      </c>
      <c r="K180" s="58"/>
      <c r="L180" s="58">
        <v>125571.46</v>
      </c>
      <c r="M180" s="58"/>
      <c r="N180" s="58"/>
      <c r="O180" s="58"/>
      <c r="P180" s="58"/>
      <c r="Q180" s="58"/>
    </row>
    <row r="181" spans="1:17" ht="21.75">
      <c r="A181" s="135">
        <v>123000</v>
      </c>
      <c r="B181" s="54">
        <f>F181+B215</f>
        <v>7930.62</v>
      </c>
      <c r="C181" s="136" t="s">
        <v>10</v>
      </c>
      <c r="E181" s="84" t="s">
        <v>326</v>
      </c>
      <c r="F181" s="54">
        <v>3614.7</v>
      </c>
      <c r="I181" s="58">
        <v>400</v>
      </c>
      <c r="J181" s="58">
        <v>2416.9</v>
      </c>
      <c r="K181" s="58"/>
      <c r="L181" s="58">
        <v>73330.14</v>
      </c>
      <c r="M181" s="58"/>
      <c r="N181" s="58"/>
      <c r="O181" s="58"/>
      <c r="P181" s="58"/>
      <c r="Q181" s="58"/>
    </row>
    <row r="182" spans="1:17" ht="21.75">
      <c r="A182" s="135">
        <v>115000</v>
      </c>
      <c r="B182" s="54">
        <v>400</v>
      </c>
      <c r="C182" s="136" t="s">
        <v>13</v>
      </c>
      <c r="E182" s="84" t="s">
        <v>327</v>
      </c>
      <c r="F182" s="54">
        <v>0</v>
      </c>
      <c r="I182" s="58">
        <v>418.24</v>
      </c>
      <c r="J182" s="58">
        <f>SUM(J180:J181)</f>
        <v>4528.4</v>
      </c>
      <c r="K182" s="58"/>
      <c r="L182" s="58">
        <v>175575.77</v>
      </c>
      <c r="M182" s="58"/>
      <c r="N182" s="58"/>
      <c r="O182" s="58"/>
      <c r="P182" s="58"/>
      <c r="Q182" s="58"/>
    </row>
    <row r="183" spans="1:17" ht="21.75">
      <c r="A183" s="135">
        <v>60000</v>
      </c>
      <c r="B183" s="54">
        <v>418.24</v>
      </c>
      <c r="C183" s="136" t="s">
        <v>14</v>
      </c>
      <c r="E183" s="84" t="s">
        <v>328</v>
      </c>
      <c r="F183" s="54">
        <v>418.24</v>
      </c>
      <c r="I183" s="58">
        <v>1000</v>
      </c>
      <c r="J183" s="58"/>
      <c r="K183" s="58"/>
      <c r="L183" s="58">
        <f>SUM(L180:L182)</f>
        <v>374477.37</v>
      </c>
      <c r="M183" s="58"/>
      <c r="N183" s="58"/>
      <c r="O183" s="58"/>
      <c r="P183" s="58"/>
      <c r="Q183" s="58"/>
    </row>
    <row r="184" spans="1:17" ht="21.75">
      <c r="A184" s="135">
        <v>0</v>
      </c>
      <c r="B184" s="54">
        <v>0</v>
      </c>
      <c r="C184" s="136" t="s">
        <v>15</v>
      </c>
      <c r="E184" s="84" t="s">
        <v>329</v>
      </c>
      <c r="F184" s="54">
        <v>0</v>
      </c>
      <c r="I184" s="58">
        <v>2889906.7</v>
      </c>
      <c r="J184" s="58"/>
      <c r="K184" s="58"/>
      <c r="L184" s="58"/>
      <c r="M184" s="58"/>
      <c r="N184" s="58"/>
      <c r="O184" s="58"/>
      <c r="P184" s="58"/>
      <c r="Q184" s="58"/>
    </row>
    <row r="185" spans="1:17" ht="21.75">
      <c r="A185" s="135">
        <v>475000</v>
      </c>
      <c r="B185" s="54">
        <v>1000</v>
      </c>
      <c r="C185" s="136" t="s">
        <v>16</v>
      </c>
      <c r="E185" s="84" t="s">
        <v>330</v>
      </c>
      <c r="F185" s="69">
        <v>1000</v>
      </c>
      <c r="I185" s="58">
        <v>2151806</v>
      </c>
      <c r="J185" s="58"/>
      <c r="K185" s="58"/>
      <c r="L185" s="58"/>
      <c r="M185" s="58"/>
      <c r="N185" s="58"/>
      <c r="O185" s="58"/>
      <c r="P185" s="58"/>
      <c r="Q185" s="58"/>
    </row>
    <row r="186" spans="1:17" ht="21.75">
      <c r="A186" s="135">
        <v>8227000</v>
      </c>
      <c r="B186" s="54">
        <f>F186+B220</f>
        <v>2889906.7</v>
      </c>
      <c r="C186" s="136" t="s">
        <v>12</v>
      </c>
      <c r="E186" s="89">
        <v>1000</v>
      </c>
      <c r="F186" s="69">
        <f>L183</f>
        <v>374477.37</v>
      </c>
      <c r="I186" s="58">
        <f>SUM(I180:I185)</f>
        <v>5052375.26</v>
      </c>
      <c r="J186" s="58"/>
      <c r="K186" s="58"/>
      <c r="L186" s="58"/>
      <c r="M186" s="58"/>
      <c r="N186" s="58"/>
      <c r="O186" s="58"/>
      <c r="P186" s="58"/>
      <c r="Q186" s="58"/>
    </row>
    <row r="187" spans="1:17" ht="21.75">
      <c r="A187" s="135">
        <v>8300000</v>
      </c>
      <c r="B187" s="54">
        <v>2151806</v>
      </c>
      <c r="C187" s="136" t="s">
        <v>11</v>
      </c>
      <c r="E187" s="89">
        <v>2000</v>
      </c>
      <c r="F187" s="137">
        <v>0</v>
      </c>
      <c r="I187" s="58"/>
      <c r="J187" s="58"/>
      <c r="K187" s="58"/>
      <c r="L187" s="58"/>
      <c r="M187" s="58"/>
      <c r="N187" s="58"/>
      <c r="O187" s="58"/>
      <c r="P187" s="58"/>
      <c r="Q187" s="58"/>
    </row>
    <row r="188" spans="1:17" ht="22.5" thickBot="1">
      <c r="A188" s="394">
        <f>SUM(A179:A187)</f>
        <v>17300000</v>
      </c>
      <c r="B188" s="280">
        <f>F188+B222</f>
        <v>5051461.56</v>
      </c>
      <c r="C188" s="318"/>
      <c r="D188" s="318"/>
      <c r="E188" s="319"/>
      <c r="F188" s="280">
        <f>SUM(F181+F182+F183+F184+F185+F186+F187)</f>
        <v>379510.31</v>
      </c>
      <c r="I188" s="58"/>
      <c r="J188" s="58"/>
      <c r="K188" s="58"/>
      <c r="L188" s="58"/>
      <c r="M188" s="58"/>
      <c r="N188" s="58"/>
      <c r="O188" s="58"/>
      <c r="P188" s="58"/>
      <c r="Q188" s="58"/>
    </row>
    <row r="189" spans="1:17" ht="22.5" thickTop="1">
      <c r="A189" s="59"/>
      <c r="B189" s="54">
        <f>F189+B223</f>
        <v>39452.78999999999</v>
      </c>
      <c r="C189" s="61" t="s">
        <v>99</v>
      </c>
      <c r="E189" s="89">
        <v>900</v>
      </c>
      <c r="F189" s="85">
        <f>'หมายเหตุ 2,3 '!E175</f>
        <v>21004.34</v>
      </c>
      <c r="J189" s="58"/>
      <c r="K189" s="58"/>
      <c r="L189" s="58"/>
      <c r="M189" s="58"/>
      <c r="N189" s="58"/>
      <c r="O189" s="58"/>
      <c r="P189" s="58"/>
      <c r="Q189" s="58"/>
    </row>
    <row r="190" spans="1:17" ht="21.75">
      <c r="A190" s="59"/>
      <c r="B190" s="54">
        <f>F190+B224</f>
        <v>3184028</v>
      </c>
      <c r="C190" s="61" t="s">
        <v>319</v>
      </c>
      <c r="E190" s="89">
        <v>3000</v>
      </c>
      <c r="F190" s="85">
        <f>'หมายเหต 6'!F81</f>
        <v>0</v>
      </c>
      <c r="J190" s="58"/>
      <c r="K190" s="58"/>
      <c r="L190" s="58"/>
      <c r="M190" s="58"/>
      <c r="N190" s="58"/>
      <c r="O190" s="58"/>
      <c r="P190" s="58"/>
      <c r="Q190" s="58"/>
    </row>
    <row r="191" spans="1:17" ht="21.75">
      <c r="A191" s="59"/>
      <c r="B191" s="54">
        <v>15046.73</v>
      </c>
      <c r="C191" s="61" t="s">
        <v>100</v>
      </c>
      <c r="E191" s="89"/>
      <c r="F191" s="85">
        <v>0</v>
      </c>
      <c r="J191" s="58"/>
      <c r="K191" s="58"/>
      <c r="L191" s="58"/>
      <c r="M191" s="58"/>
      <c r="N191" s="58"/>
      <c r="O191" s="58"/>
      <c r="P191" s="58"/>
      <c r="Q191" s="58"/>
    </row>
    <row r="192" spans="1:17" ht="21.75">
      <c r="A192" s="59"/>
      <c r="B192" s="54"/>
      <c r="C192" s="61" t="s">
        <v>19</v>
      </c>
      <c r="E192" s="84">
        <v>700</v>
      </c>
      <c r="F192" s="85">
        <v>0</v>
      </c>
      <c r="J192" s="58"/>
      <c r="K192" s="58"/>
      <c r="L192" s="58"/>
      <c r="M192" s="58"/>
      <c r="N192" s="58"/>
      <c r="O192" s="58"/>
      <c r="P192" s="58"/>
      <c r="Q192" s="58"/>
    </row>
    <row r="193" spans="1:6" ht="21.75">
      <c r="A193" s="59"/>
      <c r="B193" s="54">
        <f>F193+B227</f>
        <v>942500</v>
      </c>
      <c r="C193" s="61" t="s">
        <v>362</v>
      </c>
      <c r="E193" s="84"/>
      <c r="F193" s="85">
        <v>235000</v>
      </c>
    </row>
    <row r="194" spans="1:6" ht="21.75">
      <c r="A194" s="59"/>
      <c r="B194" s="54">
        <f>F194+B228</f>
        <v>78642</v>
      </c>
      <c r="C194" s="61" t="s">
        <v>305</v>
      </c>
      <c r="E194" s="84" t="s">
        <v>58</v>
      </c>
      <c r="F194" s="85">
        <v>23290</v>
      </c>
    </row>
    <row r="195" spans="1:6" ht="21.75">
      <c r="A195" s="59"/>
      <c r="B195" s="71">
        <f>SUM(B189:B194)</f>
        <v>4259669.52</v>
      </c>
      <c r="E195" s="89"/>
      <c r="F195" s="180">
        <f>SUM(F189:F194)</f>
        <v>279294.33999999997</v>
      </c>
    </row>
    <row r="196" spans="1:6" ht="23.25" thickBot="1">
      <c r="A196" s="395"/>
      <c r="B196" s="396">
        <f>+B195+B188</f>
        <v>9311131.079999998</v>
      </c>
      <c r="C196" s="322" t="s">
        <v>17</v>
      </c>
      <c r="D196" s="318"/>
      <c r="E196" s="323"/>
      <c r="F196" s="292">
        <f>+F195+F188</f>
        <v>658804.6499999999</v>
      </c>
    </row>
    <row r="197" ht="22.5" thickTop="1"/>
    <row r="204" spans="1:6" ht="21.75">
      <c r="A204" s="124" t="s">
        <v>320</v>
      </c>
      <c r="B204" s="79"/>
      <c r="C204" s="79"/>
      <c r="D204" s="79"/>
      <c r="E204" s="125"/>
      <c r="F204" s="124"/>
    </row>
    <row r="205" spans="1:6" ht="21.75">
      <c r="A205" s="305" t="s">
        <v>321</v>
      </c>
      <c r="B205" s="79"/>
      <c r="C205" s="79"/>
      <c r="D205" s="79"/>
      <c r="E205" s="125"/>
      <c r="F205" s="124"/>
    </row>
    <row r="206" spans="1:6" ht="21.75">
      <c r="A206" s="124"/>
      <c r="B206" s="124"/>
      <c r="C206" s="79"/>
      <c r="D206" s="79"/>
      <c r="E206" s="125"/>
      <c r="F206" s="124"/>
    </row>
    <row r="207" spans="1:6" ht="26.25">
      <c r="A207" s="480" t="s">
        <v>36</v>
      </c>
      <c r="B207" s="480"/>
      <c r="C207" s="480"/>
      <c r="D207" s="480"/>
      <c r="E207" s="480"/>
      <c r="F207" s="480"/>
    </row>
    <row r="208" spans="1:6" ht="26.25">
      <c r="A208" s="479" t="s">
        <v>372</v>
      </c>
      <c r="B208" s="480"/>
      <c r="C208" s="480"/>
      <c r="D208" s="480"/>
      <c r="E208" s="480"/>
      <c r="F208" s="480"/>
    </row>
    <row r="210" spans="1:6" ht="21.75">
      <c r="A210" s="481" t="s">
        <v>7</v>
      </c>
      <c r="B210" s="482"/>
      <c r="C210" s="126"/>
      <c r="D210" s="63"/>
      <c r="E210" s="127" t="s">
        <v>4</v>
      </c>
      <c r="F210" s="128" t="s">
        <v>6</v>
      </c>
    </row>
    <row r="211" spans="1:6" ht="21.75">
      <c r="A211" s="128" t="s">
        <v>0</v>
      </c>
      <c r="B211" s="128" t="s">
        <v>2</v>
      </c>
      <c r="C211" s="82" t="s">
        <v>3</v>
      </c>
      <c r="D211" s="83"/>
      <c r="E211" s="89" t="s">
        <v>5</v>
      </c>
      <c r="F211" s="85" t="s">
        <v>2</v>
      </c>
    </row>
    <row r="212" spans="1:6" ht="21.75">
      <c r="A212" s="130" t="s">
        <v>1</v>
      </c>
      <c r="B212" s="130" t="s">
        <v>1</v>
      </c>
      <c r="C212" s="64"/>
      <c r="D212" s="131"/>
      <c r="E212" s="65"/>
      <c r="F212" s="130" t="s">
        <v>1</v>
      </c>
    </row>
    <row r="213" spans="1:6" ht="21.75">
      <c r="A213" s="321"/>
      <c r="B213" s="279">
        <v>5829391.48</v>
      </c>
      <c r="C213" s="318" t="s">
        <v>8</v>
      </c>
      <c r="D213" s="318"/>
      <c r="E213" s="319"/>
      <c r="F213" s="278">
        <v>6084141.08</v>
      </c>
    </row>
    <row r="214" spans="1:6" ht="21.75">
      <c r="A214" s="132"/>
      <c r="B214" s="133"/>
      <c r="C214" s="134" t="s">
        <v>9</v>
      </c>
      <c r="D214" s="79"/>
      <c r="E214" s="89"/>
      <c r="F214" s="54"/>
    </row>
    <row r="215" spans="1:6" ht="21.75">
      <c r="A215" s="135">
        <v>127500</v>
      </c>
      <c r="B215" s="54">
        <f>F215+B249</f>
        <v>4315.92</v>
      </c>
      <c r="C215" s="136" t="s">
        <v>10</v>
      </c>
      <c r="E215" s="84" t="s">
        <v>326</v>
      </c>
      <c r="F215" s="54">
        <v>647.68</v>
      </c>
    </row>
    <row r="216" spans="1:6" ht="21.75">
      <c r="A216" s="135">
        <v>126500</v>
      </c>
      <c r="B216" s="54">
        <v>400</v>
      </c>
      <c r="C216" s="136" t="s">
        <v>13</v>
      </c>
      <c r="E216" s="84" t="s">
        <v>327</v>
      </c>
      <c r="F216" s="54">
        <v>400</v>
      </c>
    </row>
    <row r="217" spans="1:8" ht="21.75">
      <c r="A217" s="135">
        <v>50000</v>
      </c>
      <c r="B217" s="54">
        <v>0</v>
      </c>
      <c r="C217" s="136" t="s">
        <v>14</v>
      </c>
      <c r="E217" s="84" t="s">
        <v>328</v>
      </c>
      <c r="F217" s="54">
        <v>0</v>
      </c>
      <c r="H217" s="61">
        <v>417.68</v>
      </c>
    </row>
    <row r="218" spans="1:10" ht="30.75">
      <c r="A218" s="135">
        <v>0</v>
      </c>
      <c r="B218" s="54">
        <v>0</v>
      </c>
      <c r="C218" s="136" t="s">
        <v>15</v>
      </c>
      <c r="E218" s="84" t="s">
        <v>329</v>
      </c>
      <c r="F218" s="54">
        <v>0</v>
      </c>
      <c r="H218" s="61">
        <v>230</v>
      </c>
      <c r="J218" s="442">
        <v>3447282.95</v>
      </c>
    </row>
    <row r="219" spans="1:10" ht="30.75">
      <c r="A219" s="135">
        <v>325000</v>
      </c>
      <c r="B219" s="54">
        <v>0</v>
      </c>
      <c r="C219" s="136" t="s">
        <v>16</v>
      </c>
      <c r="E219" s="84" t="s">
        <v>330</v>
      </c>
      <c r="F219" s="69">
        <v>0</v>
      </c>
      <c r="H219" s="61">
        <f>SUM(H217:H218)</f>
        <v>647.6800000000001</v>
      </c>
      <c r="J219" s="442">
        <v>152028</v>
      </c>
    </row>
    <row r="220" spans="1:10" ht="30.75">
      <c r="A220" s="135">
        <v>8921000</v>
      </c>
      <c r="B220" s="54">
        <f>F220+B254</f>
        <v>2515429.33</v>
      </c>
      <c r="C220" s="136" t="s">
        <v>12</v>
      </c>
      <c r="E220" s="89">
        <v>1000</v>
      </c>
      <c r="F220" s="69">
        <v>1142401.27</v>
      </c>
      <c r="J220" s="442">
        <f>J218-J219</f>
        <v>3295254.95</v>
      </c>
    </row>
    <row r="221" spans="1:10" ht="30.75">
      <c r="A221" s="135">
        <v>9300000</v>
      </c>
      <c r="B221" s="54">
        <v>2151806</v>
      </c>
      <c r="C221" s="136" t="s">
        <v>11</v>
      </c>
      <c r="E221" s="89">
        <v>2000</v>
      </c>
      <c r="F221" s="137">
        <v>2151806</v>
      </c>
      <c r="J221" s="442"/>
    </row>
    <row r="222" spans="1:10" ht="31.5" thickBot="1">
      <c r="A222" s="394">
        <f>SUM(A213:A221)</f>
        <v>18850000</v>
      </c>
      <c r="B222" s="280">
        <f>B215+B216+B217+B218+B219+B220+B221</f>
        <v>4671951.25</v>
      </c>
      <c r="C222" s="318"/>
      <c r="D222" s="318"/>
      <c r="E222" s="319"/>
      <c r="F222" s="280">
        <f>SUM(F215+F216+F217+F218+F219+F220+F221)</f>
        <v>3295254.95</v>
      </c>
      <c r="J222" s="443"/>
    </row>
    <row r="223" spans="1:12" ht="31.5" thickTop="1">
      <c r="A223" s="59"/>
      <c r="B223" s="54">
        <f>F223+B257</f>
        <v>18448.449999999997</v>
      </c>
      <c r="C223" s="61" t="s">
        <v>99</v>
      </c>
      <c r="E223" s="89">
        <v>900</v>
      </c>
      <c r="F223" s="85">
        <v>12723.8</v>
      </c>
      <c r="J223" s="443"/>
      <c r="L223" s="61">
        <v>23.46</v>
      </c>
    </row>
    <row r="224" spans="1:12" ht="21.75">
      <c r="A224" s="59"/>
      <c r="B224" s="54">
        <f>F224+B258</f>
        <v>3184028</v>
      </c>
      <c r="C224" s="61" t="s">
        <v>319</v>
      </c>
      <c r="E224" s="89">
        <v>3000</v>
      </c>
      <c r="F224" s="85">
        <v>152028</v>
      </c>
      <c r="L224" s="61">
        <v>28.16</v>
      </c>
    </row>
    <row r="225" spans="1:12" ht="21.75">
      <c r="A225" s="59"/>
      <c r="B225" s="54">
        <v>15046.73</v>
      </c>
      <c r="C225" s="61" t="s">
        <v>100</v>
      </c>
      <c r="E225" s="89"/>
      <c r="F225" s="85">
        <v>0</v>
      </c>
      <c r="L225" s="61">
        <v>5436</v>
      </c>
    </row>
    <row r="226" spans="1:12" ht="21.75">
      <c r="A226" s="59"/>
      <c r="B226" s="54"/>
      <c r="C226" s="61" t="s">
        <v>19</v>
      </c>
      <c r="E226" s="84">
        <v>700</v>
      </c>
      <c r="F226" s="85">
        <v>0</v>
      </c>
      <c r="L226" s="61">
        <v>6000</v>
      </c>
    </row>
    <row r="227" spans="1:6" ht="21.75">
      <c r="A227" s="59"/>
      <c r="B227" s="54">
        <v>707500</v>
      </c>
      <c r="C227" s="61" t="s">
        <v>362</v>
      </c>
      <c r="E227" s="84"/>
      <c r="F227" s="85">
        <v>707500</v>
      </c>
    </row>
    <row r="228" spans="1:12" ht="21.75">
      <c r="A228" s="59"/>
      <c r="B228" s="54">
        <f>F228+B261</f>
        <v>55352</v>
      </c>
      <c r="C228" s="61" t="s">
        <v>305</v>
      </c>
      <c r="E228" s="84" t="s">
        <v>58</v>
      </c>
      <c r="F228" s="85">
        <v>38300</v>
      </c>
      <c r="L228" s="61">
        <v>1236.18</v>
      </c>
    </row>
    <row r="229" spans="1:12" ht="21.75">
      <c r="A229" s="59"/>
      <c r="B229" s="71">
        <f>SUM(B223:B228)</f>
        <v>3980375.18</v>
      </c>
      <c r="E229" s="89"/>
      <c r="F229" s="180">
        <f>SUM(F223:F228)</f>
        <v>910551.8</v>
      </c>
      <c r="L229" s="58">
        <f>SUM(L223:L228)</f>
        <v>12723.8</v>
      </c>
    </row>
    <row r="230" spans="1:10" ht="23.25" thickBot="1">
      <c r="A230" s="395"/>
      <c r="B230" s="396">
        <f>+B229+B222</f>
        <v>8652326.43</v>
      </c>
      <c r="C230" s="322" t="s">
        <v>17</v>
      </c>
      <c r="D230" s="318"/>
      <c r="E230" s="323"/>
      <c r="F230" s="292">
        <f>+F229+F222</f>
        <v>4205806.75</v>
      </c>
      <c r="J230" s="58">
        <v>8652375.4</v>
      </c>
    </row>
    <row r="231" ht="22.5" thickTop="1"/>
    <row r="238" spans="1:7" s="79" customFormat="1" ht="21">
      <c r="A238" s="124" t="s">
        <v>320</v>
      </c>
      <c r="E238" s="125"/>
      <c r="F238" s="124"/>
      <c r="G238" s="124"/>
    </row>
    <row r="239" spans="1:7" s="79" customFormat="1" ht="21">
      <c r="A239" s="305" t="s">
        <v>321</v>
      </c>
      <c r="E239" s="125"/>
      <c r="F239" s="124"/>
      <c r="G239" s="124"/>
    </row>
    <row r="240" spans="1:7" s="79" customFormat="1" ht="21">
      <c r="A240" s="124"/>
      <c r="B240" s="124"/>
      <c r="E240" s="125"/>
      <c r="F240" s="124"/>
      <c r="G240" s="124"/>
    </row>
    <row r="241" spans="1:6" ht="26.25">
      <c r="A241" s="480" t="s">
        <v>36</v>
      </c>
      <c r="B241" s="480"/>
      <c r="C241" s="480"/>
      <c r="D241" s="480"/>
      <c r="E241" s="480"/>
      <c r="F241" s="480"/>
    </row>
    <row r="242" spans="1:6" ht="26.25">
      <c r="A242" s="479" t="s">
        <v>359</v>
      </c>
      <c r="B242" s="480"/>
      <c r="C242" s="480"/>
      <c r="D242" s="480"/>
      <c r="E242" s="480"/>
      <c r="F242" s="480"/>
    </row>
    <row r="244" spans="1:6" ht="21.75">
      <c r="A244" s="481" t="s">
        <v>7</v>
      </c>
      <c r="B244" s="482"/>
      <c r="C244" s="126"/>
      <c r="D244" s="63"/>
      <c r="E244" s="127" t="s">
        <v>4</v>
      </c>
      <c r="F244" s="128" t="s">
        <v>6</v>
      </c>
    </row>
    <row r="245" spans="1:7" s="62" customFormat="1" ht="21.75">
      <c r="A245" s="128" t="s">
        <v>0</v>
      </c>
      <c r="B245" s="128" t="s">
        <v>2</v>
      </c>
      <c r="C245" s="82" t="s">
        <v>3</v>
      </c>
      <c r="D245" s="83"/>
      <c r="E245" s="89" t="s">
        <v>5</v>
      </c>
      <c r="F245" s="85" t="s">
        <v>2</v>
      </c>
      <c r="G245" s="129"/>
    </row>
    <row r="246" spans="1:7" s="62" customFormat="1" ht="21.75">
      <c r="A246" s="130" t="s">
        <v>1</v>
      </c>
      <c r="B246" s="130" t="s">
        <v>1</v>
      </c>
      <c r="C246" s="64"/>
      <c r="D246" s="131"/>
      <c r="E246" s="65"/>
      <c r="F246" s="130" t="s">
        <v>1</v>
      </c>
      <c r="G246" s="129"/>
    </row>
    <row r="247" spans="1:7" s="318" customFormat="1" ht="21">
      <c r="A247" s="321"/>
      <c r="B247" s="279">
        <f>J256</f>
        <v>5829391.48</v>
      </c>
      <c r="C247" s="318" t="s">
        <v>8</v>
      </c>
      <c r="E247" s="319"/>
      <c r="F247" s="278">
        <v>5404106.16</v>
      </c>
      <c r="G247" s="320"/>
    </row>
    <row r="248" spans="1:7" s="79" customFormat="1" ht="21.75">
      <c r="A248" s="132"/>
      <c r="B248" s="133"/>
      <c r="C248" s="134" t="s">
        <v>9</v>
      </c>
      <c r="E248" s="89"/>
      <c r="F248" s="54"/>
      <c r="G248" s="124"/>
    </row>
    <row r="249" spans="1:6" ht="21.75">
      <c r="A249" s="135">
        <v>127500</v>
      </c>
      <c r="B249" s="54">
        <v>3668.24</v>
      </c>
      <c r="C249" s="136" t="s">
        <v>10</v>
      </c>
      <c r="E249" s="84" t="s">
        <v>326</v>
      </c>
      <c r="F249" s="54">
        <v>1700.67</v>
      </c>
    </row>
    <row r="250" spans="1:8" ht="21.75">
      <c r="A250" s="135">
        <v>126500</v>
      </c>
      <c r="B250" s="54">
        <v>0</v>
      </c>
      <c r="C250" s="136" t="s">
        <v>13</v>
      </c>
      <c r="E250" s="84" t="s">
        <v>327</v>
      </c>
      <c r="F250" s="54">
        <v>0</v>
      </c>
      <c r="H250" s="61">
        <v>1607.57</v>
      </c>
    </row>
    <row r="251" spans="1:12" ht="21.75">
      <c r="A251" s="135">
        <v>50000</v>
      </c>
      <c r="B251" s="54">
        <v>0</v>
      </c>
      <c r="C251" s="136" t="s">
        <v>14</v>
      </c>
      <c r="E251" s="84" t="s">
        <v>328</v>
      </c>
      <c r="F251" s="54">
        <v>0</v>
      </c>
      <c r="H251" s="61">
        <v>360</v>
      </c>
      <c r="J251" s="58"/>
      <c r="L251" s="58">
        <v>681407</v>
      </c>
    </row>
    <row r="252" spans="1:12" ht="21.75">
      <c r="A252" s="135">
        <v>0</v>
      </c>
      <c r="B252" s="54">
        <v>0</v>
      </c>
      <c r="C252" s="136" t="s">
        <v>15</v>
      </c>
      <c r="E252" s="84" t="s">
        <v>329</v>
      </c>
      <c r="F252" s="54">
        <v>0</v>
      </c>
      <c r="H252" s="61">
        <f>SUM(H250:H251)</f>
        <v>1967.57</v>
      </c>
      <c r="J252" s="58">
        <v>5321030.19</v>
      </c>
      <c r="L252" s="58">
        <v>115489.16</v>
      </c>
    </row>
    <row r="253" spans="1:12" ht="21.75">
      <c r="A253" s="135">
        <v>325000</v>
      </c>
      <c r="B253" s="54">
        <v>0</v>
      </c>
      <c r="C253" s="136" t="s">
        <v>16</v>
      </c>
      <c r="E253" s="84" t="s">
        <v>330</v>
      </c>
      <c r="F253" s="69">
        <v>0</v>
      </c>
      <c r="J253" s="58">
        <v>155303.14</v>
      </c>
      <c r="L253" s="58">
        <v>148154.56</v>
      </c>
    </row>
    <row r="254" spans="1:12" ht="21.75">
      <c r="A254" s="135">
        <v>8921000</v>
      </c>
      <c r="B254" s="54">
        <v>1373028.06</v>
      </c>
      <c r="C254" s="136" t="s">
        <v>12</v>
      </c>
      <c r="E254" s="89">
        <v>1000</v>
      </c>
      <c r="F254" s="69">
        <v>377323.37</v>
      </c>
      <c r="J254" s="58">
        <v>6968.91</v>
      </c>
      <c r="L254" s="58">
        <v>50653.97</v>
      </c>
    </row>
    <row r="255" spans="1:12" ht="21.75">
      <c r="A255" s="135">
        <v>9300000</v>
      </c>
      <c r="B255" s="54">
        <v>0</v>
      </c>
      <c r="C255" s="136" t="s">
        <v>11</v>
      </c>
      <c r="E255" s="89">
        <v>2000</v>
      </c>
      <c r="F255" s="137">
        <v>0</v>
      </c>
      <c r="J255" s="58">
        <v>346089.24</v>
      </c>
      <c r="L255" s="58">
        <f>SUM(L251:L254)</f>
        <v>995704.69</v>
      </c>
    </row>
    <row r="256" spans="1:10" s="318" customFormat="1" ht="21.75" thickBot="1">
      <c r="A256" s="394">
        <f>SUM(A247:A255)</f>
        <v>18850000</v>
      </c>
      <c r="B256" s="280">
        <f>B249+B250+B251+B252+B253+B254+B255</f>
        <v>1376696.3</v>
      </c>
      <c r="E256" s="319"/>
      <c r="F256" s="280">
        <f>SUM(F249+F250+F251+F252+F253+F254+F255)</f>
        <v>379024.04</v>
      </c>
      <c r="G256" s="320"/>
      <c r="J256" s="320">
        <f>SUM(J252:J255)</f>
        <v>5829391.48</v>
      </c>
    </row>
    <row r="257" spans="1:6" ht="22.5" thickTop="1">
      <c r="A257" s="59"/>
      <c r="B257" s="54">
        <v>5724.65</v>
      </c>
      <c r="C257" s="61" t="s">
        <v>99</v>
      </c>
      <c r="E257" s="89">
        <v>900</v>
      </c>
      <c r="F257" s="85">
        <v>2462.37</v>
      </c>
    </row>
    <row r="258" spans="1:8" ht="21.75">
      <c r="A258" s="59"/>
      <c r="B258" s="54">
        <v>3032000</v>
      </c>
      <c r="C258" s="61" t="s">
        <v>319</v>
      </c>
      <c r="E258" s="89">
        <v>3000</v>
      </c>
      <c r="F258" s="85">
        <v>3032000</v>
      </c>
      <c r="H258" s="61">
        <v>90.31</v>
      </c>
    </row>
    <row r="259" spans="1:8" ht="21.75">
      <c r="A259" s="59"/>
      <c r="B259" s="54">
        <v>15046.73</v>
      </c>
      <c r="C259" s="61" t="s">
        <v>100</v>
      </c>
      <c r="E259" s="89"/>
      <c r="F259" s="85">
        <v>15046.73</v>
      </c>
      <c r="H259" s="61">
        <v>108.38</v>
      </c>
    </row>
    <row r="260" spans="1:8" ht="21.75">
      <c r="A260" s="59"/>
      <c r="B260" s="54"/>
      <c r="C260" s="61" t="s">
        <v>19</v>
      </c>
      <c r="E260" s="84">
        <v>700</v>
      </c>
      <c r="F260" s="85">
        <v>0</v>
      </c>
      <c r="H260" s="61">
        <v>2483</v>
      </c>
    </row>
    <row r="261" spans="1:10" ht="21.75">
      <c r="A261" s="59"/>
      <c r="B261" s="54">
        <v>17052</v>
      </c>
      <c r="C261" s="61" t="s">
        <v>305</v>
      </c>
      <c r="E261" s="84" t="s">
        <v>58</v>
      </c>
      <c r="F261" s="85">
        <v>3200</v>
      </c>
      <c r="H261" s="61">
        <f>SUM(H258:H260)</f>
        <v>2681.69</v>
      </c>
      <c r="J261" s="61">
        <v>1022082.54</v>
      </c>
    </row>
    <row r="262" spans="1:12" ht="21.75">
      <c r="A262" s="59"/>
      <c r="B262" s="71">
        <f>SUM(B257:B261)</f>
        <v>3069823.38</v>
      </c>
      <c r="E262" s="89"/>
      <c r="F262" s="180">
        <f>SUM(F257:F261)</f>
        <v>3052709.1</v>
      </c>
      <c r="J262" s="61">
        <v>1014205.95</v>
      </c>
      <c r="L262" s="61">
        <v>1014205.95</v>
      </c>
    </row>
    <row r="263" spans="1:12" s="318" customFormat="1" ht="23.25" thickBot="1">
      <c r="A263" s="395"/>
      <c r="B263" s="396">
        <f>+B262+B256</f>
        <v>4446519.68</v>
      </c>
      <c r="C263" s="322" t="s">
        <v>17</v>
      </c>
      <c r="E263" s="323"/>
      <c r="F263" s="292">
        <f>+F262+F256</f>
        <v>3431733.14</v>
      </c>
      <c r="G263" s="320"/>
      <c r="J263" s="318">
        <f>J261-J262</f>
        <v>7876.590000000084</v>
      </c>
      <c r="L263" s="318">
        <v>580.59</v>
      </c>
    </row>
    <row r="264" ht="22.5" thickTop="1">
      <c r="L264" s="61">
        <f>SUM(L262:L263)</f>
        <v>1014786.5399999999</v>
      </c>
    </row>
    <row r="272" spans="1:6" ht="21.75">
      <c r="A272" s="124" t="s">
        <v>320</v>
      </c>
      <c r="B272" s="79"/>
      <c r="C272" s="79"/>
      <c r="D272" s="79"/>
      <c r="E272" s="125"/>
      <c r="F272" s="124"/>
    </row>
    <row r="273" spans="1:6" ht="21.75">
      <c r="A273" s="305" t="s">
        <v>321</v>
      </c>
      <c r="B273" s="79"/>
      <c r="C273" s="79"/>
      <c r="D273" s="79"/>
      <c r="E273" s="125"/>
      <c r="F273" s="124"/>
    </row>
    <row r="274" spans="1:6" ht="21.75">
      <c r="A274" s="124"/>
      <c r="B274" s="124"/>
      <c r="C274" s="79"/>
      <c r="D274" s="79"/>
      <c r="E274" s="125"/>
      <c r="F274" s="124"/>
    </row>
    <row r="275" spans="1:6" ht="26.25">
      <c r="A275" s="480" t="s">
        <v>36</v>
      </c>
      <c r="B275" s="480"/>
      <c r="C275" s="480"/>
      <c r="D275" s="480"/>
      <c r="E275" s="480"/>
      <c r="F275" s="480"/>
    </row>
    <row r="276" spans="1:6" ht="26.25">
      <c r="A276" s="479" t="s">
        <v>318</v>
      </c>
      <c r="B276" s="480"/>
      <c r="C276" s="480"/>
      <c r="D276" s="480"/>
      <c r="E276" s="480"/>
      <c r="F276" s="480"/>
    </row>
    <row r="278" spans="1:6" ht="21.75">
      <c r="A278" s="481" t="s">
        <v>7</v>
      </c>
      <c r="B278" s="482"/>
      <c r="C278" s="126"/>
      <c r="D278" s="63"/>
      <c r="E278" s="127" t="s">
        <v>4</v>
      </c>
      <c r="F278" s="128" t="s">
        <v>6</v>
      </c>
    </row>
    <row r="279" spans="1:6" ht="21.75">
      <c r="A279" s="128" t="s">
        <v>0</v>
      </c>
      <c r="B279" s="128" t="s">
        <v>2</v>
      </c>
      <c r="C279" s="82" t="s">
        <v>3</v>
      </c>
      <c r="D279" s="83"/>
      <c r="E279" s="89" t="s">
        <v>5</v>
      </c>
      <c r="F279" s="85" t="s">
        <v>2</v>
      </c>
    </row>
    <row r="280" spans="1:6" ht="21.75">
      <c r="A280" s="130" t="s">
        <v>1</v>
      </c>
      <c r="B280" s="130" t="s">
        <v>1</v>
      </c>
      <c r="C280" s="64"/>
      <c r="D280" s="131"/>
      <c r="E280" s="65"/>
      <c r="F280" s="130" t="s">
        <v>1</v>
      </c>
    </row>
    <row r="281" spans="1:6" ht="21.75">
      <c r="A281" s="321"/>
      <c r="B281" s="279">
        <f>J290</f>
        <v>0</v>
      </c>
      <c r="C281" s="318" t="s">
        <v>8</v>
      </c>
      <c r="D281" s="318"/>
      <c r="E281" s="319"/>
      <c r="F281" s="278">
        <f>J290</f>
        <v>0</v>
      </c>
    </row>
    <row r="282" spans="1:6" ht="21.75">
      <c r="A282" s="132"/>
      <c r="B282" s="133"/>
      <c r="C282" s="134" t="s">
        <v>9</v>
      </c>
      <c r="D282" s="79"/>
      <c r="E282" s="89"/>
      <c r="F282" s="54"/>
    </row>
    <row r="283" spans="1:6" ht="21.75">
      <c r="A283" s="135">
        <v>127500</v>
      </c>
      <c r="B283" s="54">
        <f>F283</f>
        <v>0</v>
      </c>
      <c r="C283" s="136" t="s">
        <v>10</v>
      </c>
      <c r="E283" s="84" t="s">
        <v>326</v>
      </c>
      <c r="F283" s="54">
        <f>H286</f>
        <v>0</v>
      </c>
    </row>
    <row r="284" spans="1:6" ht="21.75">
      <c r="A284" s="135">
        <v>126500</v>
      </c>
      <c r="B284" s="54">
        <v>0</v>
      </c>
      <c r="C284" s="136" t="s">
        <v>13</v>
      </c>
      <c r="E284" s="84" t="s">
        <v>327</v>
      </c>
      <c r="F284" s="54">
        <v>0</v>
      </c>
    </row>
    <row r="285" spans="1:6" ht="21.75">
      <c r="A285" s="135">
        <v>50000</v>
      </c>
      <c r="B285" s="54">
        <v>0</v>
      </c>
      <c r="C285" s="136" t="s">
        <v>14</v>
      </c>
      <c r="E285" s="84" t="s">
        <v>328</v>
      </c>
      <c r="F285" s="54">
        <v>0</v>
      </c>
    </row>
    <row r="286" spans="1:6" ht="21.75">
      <c r="A286" s="135">
        <v>0</v>
      </c>
      <c r="B286" s="54">
        <v>0</v>
      </c>
      <c r="C286" s="136" t="s">
        <v>15</v>
      </c>
      <c r="E286" s="84" t="s">
        <v>329</v>
      </c>
      <c r="F286" s="54">
        <v>0</v>
      </c>
    </row>
    <row r="287" spans="1:6" ht="21.75">
      <c r="A287" s="135">
        <v>325000</v>
      </c>
      <c r="B287" s="54">
        <v>0</v>
      </c>
      <c r="C287" s="136" t="s">
        <v>16</v>
      </c>
      <c r="E287" s="84" t="s">
        <v>330</v>
      </c>
      <c r="F287" s="69">
        <v>0</v>
      </c>
    </row>
    <row r="288" spans="1:6" ht="21.75">
      <c r="A288" s="135">
        <v>8921000</v>
      </c>
      <c r="B288" s="54">
        <f>F288</f>
        <v>0</v>
      </c>
      <c r="C288" s="136" t="s">
        <v>12</v>
      </c>
      <c r="E288" s="89">
        <v>1000</v>
      </c>
      <c r="F288" s="69">
        <f>L289</f>
        <v>0</v>
      </c>
    </row>
    <row r="289" spans="1:6" ht="21.75">
      <c r="A289" s="135">
        <v>9300000</v>
      </c>
      <c r="B289" s="54">
        <v>0</v>
      </c>
      <c r="C289" s="136" t="s">
        <v>11</v>
      </c>
      <c r="E289" s="89">
        <v>2000</v>
      </c>
      <c r="F289" s="137">
        <v>0</v>
      </c>
    </row>
    <row r="290" spans="1:6" ht="22.5" thickBot="1">
      <c r="A290" s="394">
        <f>SUM(A281:A289)</f>
        <v>18850000</v>
      </c>
      <c r="B290" s="280">
        <f>B283+B284+B285+B286+B287+B288+B289</f>
        <v>0</v>
      </c>
      <c r="C290" s="318"/>
      <c r="D290" s="318"/>
      <c r="E290" s="319"/>
      <c r="F290" s="280">
        <f>SUM(F283+F284+F285+F286+F287+F288+F289)</f>
        <v>0</v>
      </c>
    </row>
    <row r="291" spans="1:6" ht="22.5" thickTop="1">
      <c r="A291" s="59"/>
      <c r="B291" s="54">
        <v>3262.28</v>
      </c>
      <c r="C291" s="61" t="s">
        <v>99</v>
      </c>
      <c r="E291" s="89">
        <v>900</v>
      </c>
      <c r="F291" s="85">
        <v>3262.28</v>
      </c>
    </row>
    <row r="292" spans="1:6" ht="21.75">
      <c r="A292" s="59"/>
      <c r="B292" s="54">
        <v>0</v>
      </c>
      <c r="C292" s="61" t="s">
        <v>319</v>
      </c>
      <c r="E292" s="89">
        <v>3000</v>
      </c>
      <c r="F292" s="85">
        <v>0</v>
      </c>
    </row>
    <row r="293" spans="1:6" ht="21.75">
      <c r="A293" s="59"/>
      <c r="B293" s="54"/>
      <c r="C293" s="61" t="s">
        <v>100</v>
      </c>
      <c r="E293" s="89"/>
      <c r="F293" s="85">
        <v>0</v>
      </c>
    </row>
    <row r="294" spans="1:6" ht="21.75">
      <c r="A294" s="59"/>
      <c r="B294" s="54"/>
      <c r="C294" s="61" t="s">
        <v>19</v>
      </c>
      <c r="E294" s="84">
        <v>700</v>
      </c>
      <c r="F294" s="85">
        <v>0</v>
      </c>
    </row>
    <row r="295" spans="1:6" ht="21.75">
      <c r="A295" s="59"/>
      <c r="B295" s="54">
        <f>F295</f>
        <v>13852</v>
      </c>
      <c r="C295" s="61" t="s">
        <v>305</v>
      </c>
      <c r="E295" s="84" t="s">
        <v>58</v>
      </c>
      <c r="F295" s="85">
        <v>13852</v>
      </c>
    </row>
    <row r="296" spans="1:6" ht="21.75">
      <c r="A296" s="59"/>
      <c r="B296" s="71">
        <f>SUM(B291:B295)</f>
        <v>17114.28</v>
      </c>
      <c r="E296" s="89"/>
      <c r="F296" s="180">
        <f>SUM(F291:F295)</f>
        <v>17114.28</v>
      </c>
    </row>
    <row r="297" spans="1:6" ht="23.25" thickBot="1">
      <c r="A297" s="395"/>
      <c r="B297" s="396">
        <f>+B296+B290</f>
        <v>17114.28</v>
      </c>
      <c r="C297" s="322" t="s">
        <v>17</v>
      </c>
      <c r="D297" s="318"/>
      <c r="E297" s="323"/>
      <c r="F297" s="292">
        <f>+F296+F290</f>
        <v>17114.28</v>
      </c>
    </row>
    <row r="298" ht="22.5" thickTop="1"/>
  </sheetData>
  <mergeCells count="27">
    <mergeCell ref="A142:B142"/>
    <mergeCell ref="A173:F173"/>
    <mergeCell ref="A108:B108"/>
    <mergeCell ref="A40:B40"/>
    <mergeCell ref="A37:F37"/>
    <mergeCell ref="A38:F38"/>
    <mergeCell ref="A71:F71"/>
    <mergeCell ref="A3:F3"/>
    <mergeCell ref="A4:F4"/>
    <mergeCell ref="A6:B6"/>
    <mergeCell ref="A278:B278"/>
    <mergeCell ref="A241:F241"/>
    <mergeCell ref="A242:F242"/>
    <mergeCell ref="A244:B244"/>
    <mergeCell ref="A275:F275"/>
    <mergeCell ref="A276:F276"/>
    <mergeCell ref="A210:B210"/>
    <mergeCell ref="A208:F208"/>
    <mergeCell ref="A174:F174"/>
    <mergeCell ref="A72:F72"/>
    <mergeCell ref="A74:B74"/>
    <mergeCell ref="A105:F105"/>
    <mergeCell ref="A106:F106"/>
    <mergeCell ref="A207:F207"/>
    <mergeCell ref="A139:F139"/>
    <mergeCell ref="A140:F140"/>
    <mergeCell ref="A176:B17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4"/>
  <sheetViews>
    <sheetView workbookViewId="0" topLeftCell="A1">
      <selection activeCell="G30" sqref="G30"/>
    </sheetView>
  </sheetViews>
  <sheetFormatPr defaultColWidth="9.140625" defaultRowHeight="21.75"/>
  <cols>
    <col min="5" max="5" width="7.8515625" style="0" customWidth="1"/>
    <col min="6" max="6" width="14.28125" style="0" customWidth="1"/>
    <col min="7" max="7" width="19.28125" style="0" customWidth="1"/>
    <col min="8" max="8" width="18.28125" style="0" customWidth="1"/>
    <col min="13" max="13" width="12.421875" style="0" bestFit="1" customWidth="1"/>
  </cols>
  <sheetData>
    <row r="1" spans="1:8" ht="23.25">
      <c r="A1" s="467" t="s">
        <v>246</v>
      </c>
      <c r="B1" s="467"/>
      <c r="C1" s="467"/>
      <c r="D1" s="467"/>
      <c r="E1" s="467"/>
      <c r="F1" s="467"/>
      <c r="G1" s="467"/>
      <c r="H1" s="467"/>
    </row>
    <row r="2" spans="1:8" ht="21.75">
      <c r="A2" s="468" t="s">
        <v>247</v>
      </c>
      <c r="B2" s="468"/>
      <c r="C2" s="468"/>
      <c r="D2" s="468"/>
      <c r="E2" s="468"/>
      <c r="F2" s="468"/>
      <c r="G2" s="468"/>
      <c r="H2" s="468"/>
    </row>
    <row r="3" spans="1:8" ht="21.75">
      <c r="A3" s="468" t="s">
        <v>415</v>
      </c>
      <c r="B3" s="468"/>
      <c r="C3" s="468"/>
      <c r="D3" s="468"/>
      <c r="E3" s="468"/>
      <c r="F3" s="468"/>
      <c r="G3" s="468"/>
      <c r="H3" s="468"/>
    </row>
    <row r="5" spans="1:8" ht="21.75">
      <c r="A5" s="462" t="s">
        <v>3</v>
      </c>
      <c r="B5" s="463"/>
      <c r="C5" s="463"/>
      <c r="D5" s="463"/>
      <c r="E5" s="464"/>
      <c r="F5" s="357" t="s">
        <v>8</v>
      </c>
      <c r="G5" s="357" t="s">
        <v>273</v>
      </c>
      <c r="H5" s="357" t="s">
        <v>102</v>
      </c>
    </row>
    <row r="6" spans="1:8" ht="21.75">
      <c r="A6" s="3" t="s">
        <v>249</v>
      </c>
      <c r="B6" s="22"/>
      <c r="C6" s="22"/>
      <c r="D6" s="22"/>
      <c r="E6" s="4"/>
      <c r="F6" s="383">
        <v>53430.5</v>
      </c>
      <c r="G6" s="15">
        <v>7006.25</v>
      </c>
      <c r="H6" s="15">
        <f aca="true" t="shared" si="0" ref="H6:H12">F6+G6</f>
        <v>60436.75</v>
      </c>
    </row>
    <row r="7" spans="1:8" ht="21.75">
      <c r="A7" s="360" t="s">
        <v>250</v>
      </c>
      <c r="B7" s="362"/>
      <c r="C7" s="362"/>
      <c r="D7" s="362"/>
      <c r="E7" s="361"/>
      <c r="F7" s="384">
        <v>26192.84</v>
      </c>
      <c r="G7" s="363">
        <v>491.89</v>
      </c>
      <c r="H7" s="382">
        <f t="shared" si="0"/>
        <v>26684.73</v>
      </c>
    </row>
    <row r="8" spans="1:8" ht="21.75">
      <c r="A8" s="3" t="s">
        <v>251</v>
      </c>
      <c r="B8" s="22"/>
      <c r="C8" s="22"/>
      <c r="D8" s="22"/>
      <c r="E8" s="4"/>
      <c r="F8" s="383">
        <v>800</v>
      </c>
      <c r="G8" s="15">
        <v>0</v>
      </c>
      <c r="H8" s="15">
        <f t="shared" si="0"/>
        <v>800</v>
      </c>
    </row>
    <row r="9" spans="1:8" ht="21.75">
      <c r="A9" s="360" t="s">
        <v>252</v>
      </c>
      <c r="B9" s="362"/>
      <c r="C9" s="362"/>
      <c r="D9" s="362"/>
      <c r="E9" s="361"/>
      <c r="F9" s="384">
        <f>H43</f>
        <v>920</v>
      </c>
      <c r="G9" s="363">
        <v>0</v>
      </c>
      <c r="H9" s="382">
        <f t="shared" si="0"/>
        <v>920</v>
      </c>
    </row>
    <row r="10" spans="1:8" ht="21.75">
      <c r="A10" s="3" t="s">
        <v>253</v>
      </c>
      <c r="B10" s="22"/>
      <c r="C10" s="22"/>
      <c r="D10" s="22"/>
      <c r="E10" s="4"/>
      <c r="F10" s="383">
        <f>H44</f>
        <v>0</v>
      </c>
      <c r="G10" s="15">
        <v>0</v>
      </c>
      <c r="H10" s="15">
        <f t="shared" si="0"/>
        <v>0</v>
      </c>
    </row>
    <row r="11" spans="1:8" ht="21.75">
      <c r="A11" s="360" t="s">
        <v>254</v>
      </c>
      <c r="B11" s="362"/>
      <c r="C11" s="362"/>
      <c r="D11" s="362"/>
      <c r="E11" s="361"/>
      <c r="F11" s="384">
        <f>H45</f>
        <v>0</v>
      </c>
      <c r="G11" s="363">
        <v>0</v>
      </c>
      <c r="H11" s="382">
        <f t="shared" si="0"/>
        <v>0</v>
      </c>
    </row>
    <row r="12" spans="1:8" ht="21.75">
      <c r="A12" s="3" t="s">
        <v>255</v>
      </c>
      <c r="B12" s="22"/>
      <c r="C12" s="22"/>
      <c r="D12" s="22"/>
      <c r="E12" s="4"/>
      <c r="F12" s="383">
        <v>100</v>
      </c>
      <c r="G12" s="15">
        <v>0</v>
      </c>
      <c r="H12" s="15">
        <f t="shared" si="0"/>
        <v>100</v>
      </c>
    </row>
    <row r="13" spans="1:8" ht="21.75">
      <c r="A13" s="360" t="s">
        <v>256</v>
      </c>
      <c r="B13" s="362"/>
      <c r="C13" s="362"/>
      <c r="D13" s="362"/>
      <c r="E13" s="361"/>
      <c r="F13" s="384">
        <f>H47</f>
        <v>0</v>
      </c>
      <c r="G13" s="363">
        <v>0</v>
      </c>
      <c r="H13" s="382">
        <v>0</v>
      </c>
    </row>
    <row r="14" spans="1:8" ht="21.75">
      <c r="A14" s="3" t="s">
        <v>257</v>
      </c>
      <c r="B14" s="22"/>
      <c r="C14" s="22"/>
      <c r="D14" s="22"/>
      <c r="E14" s="4"/>
      <c r="F14" s="383">
        <f>H48</f>
        <v>400</v>
      </c>
      <c r="G14" s="15">
        <v>3876</v>
      </c>
      <c r="H14" s="15">
        <f aca="true" t="shared" si="1" ref="H14:H29">F14+G14</f>
        <v>4276</v>
      </c>
    </row>
    <row r="15" spans="1:8" ht="21.75">
      <c r="A15" s="360" t="s">
        <v>258</v>
      </c>
      <c r="B15" s="362"/>
      <c r="C15" s="362"/>
      <c r="D15" s="362"/>
      <c r="E15" s="361"/>
      <c r="F15" s="384">
        <f>H49</f>
        <v>0</v>
      </c>
      <c r="G15" s="363">
        <v>0</v>
      </c>
      <c r="H15" s="382">
        <f t="shared" si="1"/>
        <v>0</v>
      </c>
    </row>
    <row r="16" spans="1:8" ht="21.75">
      <c r="A16" s="3" t="s">
        <v>259</v>
      </c>
      <c r="B16" s="22"/>
      <c r="C16" s="22"/>
      <c r="D16" s="22"/>
      <c r="E16" s="4"/>
      <c r="F16" s="383">
        <v>10533.91</v>
      </c>
      <c r="G16" s="15">
        <v>0</v>
      </c>
      <c r="H16" s="15">
        <f t="shared" si="1"/>
        <v>10533.91</v>
      </c>
    </row>
    <row r="17" spans="1:8" ht="21.75">
      <c r="A17" s="360" t="s">
        <v>260</v>
      </c>
      <c r="B17" s="362"/>
      <c r="C17" s="362"/>
      <c r="D17" s="362"/>
      <c r="E17" s="361"/>
      <c r="F17" s="384">
        <v>101000</v>
      </c>
      <c r="G17" s="363">
        <v>0</v>
      </c>
      <c r="H17" s="382">
        <f t="shared" si="1"/>
        <v>101000</v>
      </c>
    </row>
    <row r="18" spans="1:8" ht="21.75">
      <c r="A18" s="3" t="s">
        <v>261</v>
      </c>
      <c r="B18" s="22"/>
      <c r="C18" s="22"/>
      <c r="D18" s="22"/>
      <c r="E18" s="4"/>
      <c r="F18" s="383">
        <v>500</v>
      </c>
      <c r="G18" s="15">
        <v>0</v>
      </c>
      <c r="H18" s="15">
        <f t="shared" si="1"/>
        <v>500</v>
      </c>
    </row>
    <row r="19" spans="1:8" ht="21.75">
      <c r="A19" s="360" t="s">
        <v>262</v>
      </c>
      <c r="B19" s="362"/>
      <c r="C19" s="362"/>
      <c r="D19" s="362"/>
      <c r="E19" s="361"/>
      <c r="F19" s="384">
        <f>H53</f>
        <v>3052420.4699999997</v>
      </c>
      <c r="G19" s="363">
        <v>0</v>
      </c>
      <c r="H19" s="382">
        <f t="shared" si="1"/>
        <v>3052420.4699999997</v>
      </c>
    </row>
    <row r="20" spans="1:8" ht="21.75">
      <c r="A20" s="3" t="s">
        <v>263</v>
      </c>
      <c r="B20" s="22"/>
      <c r="C20" s="22"/>
      <c r="D20" s="22"/>
      <c r="E20" s="4"/>
      <c r="F20" s="383">
        <v>950898.19</v>
      </c>
      <c r="G20" s="15">
        <v>97902.82</v>
      </c>
      <c r="H20" s="15">
        <f t="shared" si="1"/>
        <v>1048801.01</v>
      </c>
    </row>
    <row r="21" spans="1:8" ht="21.75">
      <c r="A21" s="360" t="s">
        <v>264</v>
      </c>
      <c r="B21" s="362"/>
      <c r="C21" s="362"/>
      <c r="D21" s="362"/>
      <c r="E21" s="361"/>
      <c r="F21" s="384">
        <f>H55</f>
        <v>4727.19</v>
      </c>
      <c r="G21" s="363">
        <v>0</v>
      </c>
      <c r="H21" s="382">
        <f t="shared" si="1"/>
        <v>4727.19</v>
      </c>
    </row>
    <row r="22" spans="1:8" ht="21.75">
      <c r="A22" s="3" t="s">
        <v>265</v>
      </c>
      <c r="B22" s="22"/>
      <c r="C22" s="22"/>
      <c r="D22" s="22"/>
      <c r="E22" s="4"/>
      <c r="F22" s="383">
        <v>515419.05</v>
      </c>
      <c r="G22" s="15">
        <v>51537.57</v>
      </c>
      <c r="H22" s="15">
        <f t="shared" si="1"/>
        <v>566956.62</v>
      </c>
    </row>
    <row r="23" spans="1:8" ht="21.75">
      <c r="A23" s="360" t="s">
        <v>266</v>
      </c>
      <c r="B23" s="362"/>
      <c r="C23" s="362"/>
      <c r="D23" s="362"/>
      <c r="E23" s="361"/>
      <c r="F23" s="384">
        <v>1347563.44</v>
      </c>
      <c r="G23" s="363">
        <v>158442.12</v>
      </c>
      <c r="H23" s="382">
        <f t="shared" si="1"/>
        <v>1506005.56</v>
      </c>
    </row>
    <row r="24" spans="1:8" ht="21.75">
      <c r="A24" s="3" t="s">
        <v>271</v>
      </c>
      <c r="B24" s="22"/>
      <c r="C24" s="22"/>
      <c r="D24" s="22"/>
      <c r="E24" s="4"/>
      <c r="F24" s="383">
        <v>39240.62</v>
      </c>
      <c r="G24" s="15">
        <v>0</v>
      </c>
      <c r="H24" s="15">
        <f t="shared" si="1"/>
        <v>39240.62</v>
      </c>
    </row>
    <row r="25" spans="1:8" ht="21.75">
      <c r="A25" s="360" t="s">
        <v>267</v>
      </c>
      <c r="B25" s="362"/>
      <c r="C25" s="362"/>
      <c r="D25" s="362"/>
      <c r="E25" s="361"/>
      <c r="F25" s="384">
        <v>25450.15</v>
      </c>
      <c r="G25" s="363">
        <v>0</v>
      </c>
      <c r="H25" s="363">
        <f t="shared" si="1"/>
        <v>25450.15</v>
      </c>
    </row>
    <row r="26" spans="1:8" ht="21.75">
      <c r="A26" s="3" t="s">
        <v>272</v>
      </c>
      <c r="B26" s="22"/>
      <c r="C26" s="22"/>
      <c r="D26" s="22"/>
      <c r="E26" s="4"/>
      <c r="F26" s="383">
        <f>H60</f>
        <v>0</v>
      </c>
      <c r="G26" s="15">
        <v>0</v>
      </c>
      <c r="H26" s="15">
        <f t="shared" si="1"/>
        <v>0</v>
      </c>
    </row>
    <row r="27" spans="1:8" ht="21.75">
      <c r="A27" s="360" t="s">
        <v>268</v>
      </c>
      <c r="B27" s="362"/>
      <c r="C27" s="362"/>
      <c r="D27" s="362"/>
      <c r="E27" s="361"/>
      <c r="F27" s="384">
        <v>102399</v>
      </c>
      <c r="G27" s="363">
        <v>55679</v>
      </c>
      <c r="H27" s="382">
        <f t="shared" si="1"/>
        <v>158078</v>
      </c>
    </row>
    <row r="28" spans="1:8" ht="21.75">
      <c r="A28" s="3" t="s">
        <v>269</v>
      </c>
      <c r="B28" s="22"/>
      <c r="C28" s="22"/>
      <c r="D28" s="22"/>
      <c r="E28" s="4"/>
      <c r="F28" s="383">
        <f>H62</f>
        <v>0</v>
      </c>
      <c r="G28" s="15">
        <v>0</v>
      </c>
      <c r="H28" s="15">
        <f t="shared" si="1"/>
        <v>0</v>
      </c>
    </row>
    <row r="29" spans="1:8" ht="21.75">
      <c r="A29" s="360" t="s">
        <v>270</v>
      </c>
      <c r="B29" s="362"/>
      <c r="C29" s="362"/>
      <c r="D29" s="362"/>
      <c r="E29" s="361"/>
      <c r="F29" s="384">
        <v>6759381</v>
      </c>
      <c r="G29" s="363">
        <v>0</v>
      </c>
      <c r="H29" s="382">
        <f t="shared" si="1"/>
        <v>6759381</v>
      </c>
    </row>
    <row r="30" spans="6:8" ht="22.5" thickBot="1">
      <c r="F30" s="458">
        <f>F6+F7+F8+F9+F10+F11+F12+F13+F14+F15+F16+F17+F18+F19+F20+F21+F22+F23+F24+F25+F26+F27+F28+F29</f>
        <v>12991376.36</v>
      </c>
      <c r="G30" s="458">
        <f>G6+G7+G8+G9+G10+G11+G12+G13+G14+G15+G16+G17+G18+G19+G20+G21+G22+G23+G24+G25+G26+G27+G28+G29</f>
        <v>374935.65</v>
      </c>
      <c r="H30" s="459">
        <f>H6+H7+H8+H9+H10+H11+H12+H13+H14+H15+H16+H17+H18+H19+H20+H21+H22+H23+H24+H25+H26+H27+H28+H29</f>
        <v>13366312.010000002</v>
      </c>
    </row>
    <row r="31" ht="22.5" thickTop="1"/>
    <row r="35" spans="1:8" ht="23.25">
      <c r="A35" s="467" t="s">
        <v>246</v>
      </c>
      <c r="B35" s="467"/>
      <c r="C35" s="467"/>
      <c r="D35" s="467"/>
      <c r="E35" s="467"/>
      <c r="F35" s="467"/>
      <c r="G35" s="467"/>
      <c r="H35" s="467"/>
    </row>
    <row r="36" spans="1:8" ht="21.75">
      <c r="A36" s="468" t="s">
        <v>247</v>
      </c>
      <c r="B36" s="468"/>
      <c r="C36" s="468"/>
      <c r="D36" s="468"/>
      <c r="E36" s="468"/>
      <c r="F36" s="468"/>
      <c r="G36" s="468"/>
      <c r="H36" s="468"/>
    </row>
    <row r="37" spans="1:8" ht="21.75">
      <c r="A37" s="468" t="s">
        <v>408</v>
      </c>
      <c r="B37" s="468"/>
      <c r="C37" s="468"/>
      <c r="D37" s="468"/>
      <c r="E37" s="468"/>
      <c r="F37" s="468"/>
      <c r="G37" s="468"/>
      <c r="H37" s="468"/>
    </row>
    <row r="39" spans="1:8" ht="21.75">
      <c r="A39" s="462" t="s">
        <v>3</v>
      </c>
      <c r="B39" s="463"/>
      <c r="C39" s="463"/>
      <c r="D39" s="463"/>
      <c r="E39" s="464"/>
      <c r="F39" s="357" t="s">
        <v>8</v>
      </c>
      <c r="G39" s="357" t="s">
        <v>273</v>
      </c>
      <c r="H39" s="357" t="s">
        <v>102</v>
      </c>
    </row>
    <row r="40" spans="1:8" ht="21.75">
      <c r="A40" s="3" t="s">
        <v>249</v>
      </c>
      <c r="B40" s="22"/>
      <c r="C40" s="22"/>
      <c r="D40" s="22"/>
      <c r="E40" s="4"/>
      <c r="F40" s="383">
        <v>53430.5</v>
      </c>
      <c r="G40" s="15">
        <v>0</v>
      </c>
      <c r="H40" s="15">
        <f aca="true" t="shared" si="2" ref="H40:H46">F40+G40</f>
        <v>53430.5</v>
      </c>
    </row>
    <row r="41" spans="1:8" ht="21.75">
      <c r="A41" s="360" t="s">
        <v>250</v>
      </c>
      <c r="B41" s="362"/>
      <c r="C41" s="362"/>
      <c r="D41" s="362"/>
      <c r="E41" s="361"/>
      <c r="F41" s="384">
        <v>24269.31</v>
      </c>
      <c r="G41" s="363">
        <v>1923.53</v>
      </c>
      <c r="H41" s="382">
        <f t="shared" si="2"/>
        <v>26192.84</v>
      </c>
    </row>
    <row r="42" spans="1:8" ht="21.75">
      <c r="A42" s="3" t="s">
        <v>251</v>
      </c>
      <c r="B42" s="22"/>
      <c r="C42" s="22"/>
      <c r="D42" s="22"/>
      <c r="E42" s="4"/>
      <c r="F42" s="383">
        <v>800</v>
      </c>
      <c r="G42" s="15">
        <v>0</v>
      </c>
      <c r="H42" s="15">
        <f t="shared" si="2"/>
        <v>800</v>
      </c>
    </row>
    <row r="43" spans="1:8" ht="21.75">
      <c r="A43" s="360" t="s">
        <v>252</v>
      </c>
      <c r="B43" s="362"/>
      <c r="C43" s="362"/>
      <c r="D43" s="362"/>
      <c r="E43" s="361"/>
      <c r="F43" s="384">
        <f>H77</f>
        <v>920</v>
      </c>
      <c r="G43" s="363">
        <v>0</v>
      </c>
      <c r="H43" s="382">
        <f t="shared" si="2"/>
        <v>920</v>
      </c>
    </row>
    <row r="44" spans="1:8" ht="21.75">
      <c r="A44" s="3" t="s">
        <v>253</v>
      </c>
      <c r="B44" s="22"/>
      <c r="C44" s="22"/>
      <c r="D44" s="22"/>
      <c r="E44" s="4"/>
      <c r="F44" s="383">
        <f>H78</f>
        <v>0</v>
      </c>
      <c r="G44" s="15">
        <v>0</v>
      </c>
      <c r="H44" s="15">
        <f t="shared" si="2"/>
        <v>0</v>
      </c>
    </row>
    <row r="45" spans="1:8" ht="21.75">
      <c r="A45" s="360" t="s">
        <v>254</v>
      </c>
      <c r="B45" s="362"/>
      <c r="C45" s="362"/>
      <c r="D45" s="362"/>
      <c r="E45" s="361"/>
      <c r="F45" s="384">
        <f>H79</f>
        <v>0</v>
      </c>
      <c r="G45" s="363">
        <v>0</v>
      </c>
      <c r="H45" s="382">
        <f t="shared" si="2"/>
        <v>0</v>
      </c>
    </row>
    <row r="46" spans="1:8" ht="21.75">
      <c r="A46" s="3" t="s">
        <v>255</v>
      </c>
      <c r="B46" s="22"/>
      <c r="C46" s="22"/>
      <c r="D46" s="22"/>
      <c r="E46" s="4"/>
      <c r="F46" s="383">
        <v>100</v>
      </c>
      <c r="G46" s="15">
        <v>0</v>
      </c>
      <c r="H46" s="15">
        <f t="shared" si="2"/>
        <v>100</v>
      </c>
    </row>
    <row r="47" spans="1:8" ht="21.75">
      <c r="A47" s="360" t="s">
        <v>256</v>
      </c>
      <c r="B47" s="362"/>
      <c r="C47" s="362"/>
      <c r="D47" s="362"/>
      <c r="E47" s="361"/>
      <c r="F47" s="384">
        <f>H81</f>
        <v>0</v>
      </c>
      <c r="G47" s="363">
        <v>0</v>
      </c>
      <c r="H47" s="382">
        <v>0</v>
      </c>
    </row>
    <row r="48" spans="1:8" ht="21.75">
      <c r="A48" s="3" t="s">
        <v>257</v>
      </c>
      <c r="B48" s="22"/>
      <c r="C48" s="22"/>
      <c r="D48" s="22"/>
      <c r="E48" s="4"/>
      <c r="F48" s="383">
        <f>H82</f>
        <v>400</v>
      </c>
      <c r="G48" s="15">
        <v>0</v>
      </c>
      <c r="H48" s="15">
        <f aca="true" t="shared" si="3" ref="H48:H63">F48+G48</f>
        <v>400</v>
      </c>
    </row>
    <row r="49" spans="1:8" ht="21.75">
      <c r="A49" s="360" t="s">
        <v>258</v>
      </c>
      <c r="B49" s="362"/>
      <c r="C49" s="362"/>
      <c r="D49" s="362"/>
      <c r="E49" s="361"/>
      <c r="F49" s="384">
        <f>H83</f>
        <v>0</v>
      </c>
      <c r="G49" s="363">
        <v>0</v>
      </c>
      <c r="H49" s="382">
        <f t="shared" si="3"/>
        <v>0</v>
      </c>
    </row>
    <row r="50" spans="1:8" ht="21.75">
      <c r="A50" s="3" t="s">
        <v>259</v>
      </c>
      <c r="B50" s="22"/>
      <c r="C50" s="22"/>
      <c r="D50" s="22"/>
      <c r="E50" s="4"/>
      <c r="F50" s="383">
        <v>10533.91</v>
      </c>
      <c r="G50" s="15">
        <v>0</v>
      </c>
      <c r="H50" s="15">
        <f t="shared" si="3"/>
        <v>10533.91</v>
      </c>
    </row>
    <row r="51" spans="1:8" ht="21.75">
      <c r="A51" s="360" t="s">
        <v>260</v>
      </c>
      <c r="B51" s="362"/>
      <c r="C51" s="362"/>
      <c r="D51" s="362"/>
      <c r="E51" s="361"/>
      <c r="F51" s="384">
        <v>101000</v>
      </c>
      <c r="G51" s="363">
        <v>0</v>
      </c>
      <c r="H51" s="382">
        <f t="shared" si="3"/>
        <v>101000</v>
      </c>
    </row>
    <row r="52" spans="1:8" ht="21.75">
      <c r="A52" s="3" t="s">
        <v>261</v>
      </c>
      <c r="B52" s="22"/>
      <c r="C52" s="22"/>
      <c r="D52" s="22"/>
      <c r="E52" s="4"/>
      <c r="F52" s="383">
        <v>500</v>
      </c>
      <c r="G52" s="15">
        <v>0</v>
      </c>
      <c r="H52" s="15">
        <f t="shared" si="3"/>
        <v>500</v>
      </c>
    </row>
    <row r="53" spans="1:8" ht="21.75">
      <c r="A53" s="360" t="s">
        <v>262</v>
      </c>
      <c r="B53" s="362"/>
      <c r="C53" s="362"/>
      <c r="D53" s="362"/>
      <c r="E53" s="361"/>
      <c r="F53" s="384">
        <f>H87</f>
        <v>2233683.9099999997</v>
      </c>
      <c r="G53" s="363">
        <v>818736.56</v>
      </c>
      <c r="H53" s="382">
        <f t="shared" si="3"/>
        <v>3052420.4699999997</v>
      </c>
    </row>
    <row r="54" spans="1:8" ht="21.75">
      <c r="A54" s="3" t="s">
        <v>263</v>
      </c>
      <c r="B54" s="22"/>
      <c r="C54" s="22"/>
      <c r="D54" s="22"/>
      <c r="E54" s="4"/>
      <c r="F54" s="383">
        <v>815214.04</v>
      </c>
      <c r="G54" s="15">
        <v>135684.15</v>
      </c>
      <c r="H54" s="15">
        <f t="shared" si="3"/>
        <v>950898.1900000001</v>
      </c>
    </row>
    <row r="55" spans="1:8" ht="21.75">
      <c r="A55" s="360" t="s">
        <v>264</v>
      </c>
      <c r="B55" s="362"/>
      <c r="C55" s="362"/>
      <c r="D55" s="362"/>
      <c r="E55" s="361"/>
      <c r="F55" s="384">
        <f>H89</f>
        <v>4727.19</v>
      </c>
      <c r="G55" s="363">
        <v>0</v>
      </c>
      <c r="H55" s="382">
        <f t="shared" si="3"/>
        <v>4727.19</v>
      </c>
    </row>
    <row r="56" spans="1:8" ht="21.75">
      <c r="A56" s="3" t="s">
        <v>265</v>
      </c>
      <c r="B56" s="22"/>
      <c r="C56" s="22"/>
      <c r="D56" s="22"/>
      <c r="E56" s="4"/>
      <c r="F56" s="383">
        <v>453675.79</v>
      </c>
      <c r="G56" s="15">
        <v>61743.26</v>
      </c>
      <c r="H56" s="15">
        <f t="shared" si="3"/>
        <v>515419.05</v>
      </c>
    </row>
    <row r="57" spans="1:8" ht="21.75">
      <c r="A57" s="360" t="s">
        <v>266</v>
      </c>
      <c r="B57" s="362"/>
      <c r="C57" s="362"/>
      <c r="D57" s="362"/>
      <c r="E57" s="361"/>
      <c r="F57" s="384">
        <v>1159316.17</v>
      </c>
      <c r="G57" s="363">
        <v>188247.27</v>
      </c>
      <c r="H57" s="382">
        <f t="shared" si="3"/>
        <v>1347563.44</v>
      </c>
    </row>
    <row r="58" spans="1:8" ht="21.75">
      <c r="A58" s="3" t="s">
        <v>271</v>
      </c>
      <c r="B58" s="22"/>
      <c r="C58" s="22"/>
      <c r="D58" s="22"/>
      <c r="E58" s="4"/>
      <c r="F58" s="383">
        <v>39240.62</v>
      </c>
      <c r="G58" s="15">
        <v>0</v>
      </c>
      <c r="H58" s="15">
        <f t="shared" si="3"/>
        <v>39240.62</v>
      </c>
    </row>
    <row r="59" spans="1:8" ht="21.75">
      <c r="A59" s="360" t="s">
        <v>267</v>
      </c>
      <c r="B59" s="362"/>
      <c r="C59" s="362"/>
      <c r="D59" s="362"/>
      <c r="E59" s="361"/>
      <c r="F59" s="384">
        <v>16297.09</v>
      </c>
      <c r="G59" s="363">
        <v>9153.06</v>
      </c>
      <c r="H59" s="363">
        <f t="shared" si="3"/>
        <v>25450.15</v>
      </c>
    </row>
    <row r="60" spans="1:8" ht="21.75">
      <c r="A60" s="3" t="s">
        <v>272</v>
      </c>
      <c r="B60" s="22"/>
      <c r="C60" s="22"/>
      <c r="D60" s="22"/>
      <c r="E60" s="4"/>
      <c r="F60" s="383">
        <f>H94</f>
        <v>0</v>
      </c>
      <c r="G60" s="15">
        <v>0</v>
      </c>
      <c r="H60" s="15">
        <f t="shared" si="3"/>
        <v>0</v>
      </c>
    </row>
    <row r="61" spans="1:8" ht="21.75">
      <c r="A61" s="360" t="s">
        <v>268</v>
      </c>
      <c r="B61" s="362"/>
      <c r="C61" s="362"/>
      <c r="D61" s="362"/>
      <c r="E61" s="361"/>
      <c r="F61" s="384">
        <v>102399</v>
      </c>
      <c r="G61" s="363">
        <v>0</v>
      </c>
      <c r="H61" s="382">
        <f t="shared" si="3"/>
        <v>102399</v>
      </c>
    </row>
    <row r="62" spans="1:8" ht="21.75">
      <c r="A62" s="3" t="s">
        <v>269</v>
      </c>
      <c r="B62" s="22"/>
      <c r="C62" s="22"/>
      <c r="D62" s="22"/>
      <c r="E62" s="4"/>
      <c r="F62" s="383">
        <f>H96</f>
        <v>0</v>
      </c>
      <c r="G62" s="15">
        <v>0</v>
      </c>
      <c r="H62" s="15">
        <f t="shared" si="3"/>
        <v>0</v>
      </c>
    </row>
    <row r="63" spans="1:8" ht="21.75">
      <c r="A63" s="360" t="s">
        <v>270</v>
      </c>
      <c r="B63" s="362"/>
      <c r="C63" s="362"/>
      <c r="D63" s="362"/>
      <c r="E63" s="361"/>
      <c r="F63" s="384">
        <v>6759381</v>
      </c>
      <c r="G63" s="363">
        <v>0</v>
      </c>
      <c r="H63" s="382">
        <f t="shared" si="3"/>
        <v>6759381</v>
      </c>
    </row>
    <row r="64" spans="6:8" ht="22.5" thickBot="1">
      <c r="F64" s="458">
        <f>F40+F41+F42+F43+F44+F45+F46+F47+F48+F49+F50+F51+F52+F53+F54+F55+F56+F57+F58+F59+F60+F61+F62+F63</f>
        <v>11775888.530000001</v>
      </c>
      <c r="G64" s="458">
        <f>G40+G41+G42+G43+G44+G45+G46+G47+G48+G49+G50+G51+G52+G53+G54+G55+G56+G57+G58+G59+G60+G61+G62+G63</f>
        <v>1215487.83</v>
      </c>
      <c r="H64" s="459">
        <f>H40+H41+H42+H43+H44+H45+H46+H47+H48+H49+H50+H51+H52+H53+H54+H55+H56+H57+H58+H59+H60+H61+H62+H63</f>
        <v>12991376.36</v>
      </c>
    </row>
    <row r="65" ht="22.5" thickTop="1"/>
    <row r="69" spans="1:8" ht="23.25">
      <c r="A69" s="467" t="s">
        <v>246</v>
      </c>
      <c r="B69" s="467"/>
      <c r="C69" s="467"/>
      <c r="D69" s="467"/>
      <c r="E69" s="467"/>
      <c r="F69" s="467"/>
      <c r="G69" s="467"/>
      <c r="H69" s="467"/>
    </row>
    <row r="70" spans="1:8" ht="21.75">
      <c r="A70" s="468" t="s">
        <v>247</v>
      </c>
      <c r="B70" s="468"/>
      <c r="C70" s="468"/>
      <c r="D70" s="468"/>
      <c r="E70" s="468"/>
      <c r="F70" s="468"/>
      <c r="G70" s="468"/>
      <c r="H70" s="468"/>
    </row>
    <row r="71" spans="1:8" ht="21.75">
      <c r="A71" s="468" t="s">
        <v>401</v>
      </c>
      <c r="B71" s="468"/>
      <c r="C71" s="468"/>
      <c r="D71" s="468"/>
      <c r="E71" s="468"/>
      <c r="F71" s="468"/>
      <c r="G71" s="468"/>
      <c r="H71" s="468"/>
    </row>
    <row r="73" spans="1:8" ht="21.75">
      <c r="A73" s="462" t="s">
        <v>3</v>
      </c>
      <c r="B73" s="463"/>
      <c r="C73" s="463"/>
      <c r="D73" s="463"/>
      <c r="E73" s="464"/>
      <c r="F73" s="357" t="s">
        <v>8</v>
      </c>
      <c r="G73" s="357" t="s">
        <v>273</v>
      </c>
      <c r="H73" s="357" t="s">
        <v>102</v>
      </c>
    </row>
    <row r="74" spans="1:8" ht="21.75">
      <c r="A74" s="3" t="s">
        <v>249</v>
      </c>
      <c r="B74" s="22"/>
      <c r="C74" s="22"/>
      <c r="D74" s="22"/>
      <c r="E74" s="4"/>
      <c r="F74" s="383">
        <v>53430.5</v>
      </c>
      <c r="G74" s="15">
        <v>0</v>
      </c>
      <c r="H74" s="15">
        <f aca="true" t="shared" si="4" ref="H74:H80">F74+G74</f>
        <v>53430.5</v>
      </c>
    </row>
    <row r="75" spans="1:8" ht="21.75">
      <c r="A75" s="360" t="s">
        <v>250</v>
      </c>
      <c r="B75" s="362"/>
      <c r="C75" s="362"/>
      <c r="D75" s="362"/>
      <c r="E75" s="361"/>
      <c r="F75" s="384">
        <v>15343.21</v>
      </c>
      <c r="G75" s="363">
        <v>8926.1</v>
      </c>
      <c r="H75" s="382">
        <f t="shared" si="4"/>
        <v>24269.309999999998</v>
      </c>
    </row>
    <row r="76" spans="1:8" ht="21.75">
      <c r="A76" s="3" t="s">
        <v>251</v>
      </c>
      <c r="B76" s="22"/>
      <c r="C76" s="22"/>
      <c r="D76" s="22"/>
      <c r="E76" s="4"/>
      <c r="F76" s="383">
        <v>800</v>
      </c>
      <c r="G76" s="15">
        <v>0</v>
      </c>
      <c r="H76" s="15">
        <f t="shared" si="4"/>
        <v>800</v>
      </c>
    </row>
    <row r="77" spans="1:8" ht="21.75">
      <c r="A77" s="360" t="s">
        <v>252</v>
      </c>
      <c r="B77" s="362"/>
      <c r="C77" s="362"/>
      <c r="D77" s="362"/>
      <c r="E77" s="361"/>
      <c r="F77" s="384">
        <f>H111</f>
        <v>920</v>
      </c>
      <c r="G77" s="363">
        <v>0</v>
      </c>
      <c r="H77" s="382">
        <f t="shared" si="4"/>
        <v>920</v>
      </c>
    </row>
    <row r="78" spans="1:8" ht="21.75">
      <c r="A78" s="3" t="s">
        <v>253</v>
      </c>
      <c r="B78" s="22"/>
      <c r="C78" s="22"/>
      <c r="D78" s="22"/>
      <c r="E78" s="4"/>
      <c r="F78" s="383">
        <f>H112</f>
        <v>0</v>
      </c>
      <c r="G78" s="15">
        <v>0</v>
      </c>
      <c r="H78" s="15">
        <f t="shared" si="4"/>
        <v>0</v>
      </c>
    </row>
    <row r="79" spans="1:8" ht="21.75">
      <c r="A79" s="360" t="s">
        <v>254</v>
      </c>
      <c r="B79" s="362"/>
      <c r="C79" s="362"/>
      <c r="D79" s="362"/>
      <c r="E79" s="361"/>
      <c r="F79" s="384">
        <f>H113</f>
        <v>0</v>
      </c>
      <c r="G79" s="363">
        <v>0</v>
      </c>
      <c r="H79" s="382">
        <f t="shared" si="4"/>
        <v>0</v>
      </c>
    </row>
    <row r="80" spans="1:8" ht="21.75">
      <c r="A80" s="3" t="s">
        <v>255</v>
      </c>
      <c r="B80" s="22"/>
      <c r="C80" s="22"/>
      <c r="D80" s="22"/>
      <c r="E80" s="4"/>
      <c r="F80" s="383">
        <v>100</v>
      </c>
      <c r="G80" s="15">
        <v>0</v>
      </c>
      <c r="H80" s="15">
        <f t="shared" si="4"/>
        <v>100</v>
      </c>
    </row>
    <row r="81" spans="1:8" ht="21.75">
      <c r="A81" s="360" t="s">
        <v>256</v>
      </c>
      <c r="B81" s="362"/>
      <c r="C81" s="362"/>
      <c r="D81" s="362"/>
      <c r="E81" s="361"/>
      <c r="F81" s="384">
        <f>H115</f>
        <v>0</v>
      </c>
      <c r="G81" s="363">
        <v>0</v>
      </c>
      <c r="H81" s="382">
        <v>0</v>
      </c>
    </row>
    <row r="82" spans="1:8" ht="21.75">
      <c r="A82" s="3" t="s">
        <v>257</v>
      </c>
      <c r="B82" s="22"/>
      <c r="C82" s="22"/>
      <c r="D82" s="22"/>
      <c r="E82" s="4"/>
      <c r="F82" s="383">
        <f>H116</f>
        <v>400</v>
      </c>
      <c r="G82" s="15">
        <v>0</v>
      </c>
      <c r="H82" s="15">
        <f aca="true" t="shared" si="5" ref="H82:H97">F82+G82</f>
        <v>400</v>
      </c>
    </row>
    <row r="83" spans="1:8" ht="21.75">
      <c r="A83" s="360" t="s">
        <v>258</v>
      </c>
      <c r="B83" s="362"/>
      <c r="C83" s="362"/>
      <c r="D83" s="362"/>
      <c r="E83" s="361"/>
      <c r="F83" s="384">
        <f>H117</f>
        <v>0</v>
      </c>
      <c r="G83" s="363">
        <v>0</v>
      </c>
      <c r="H83" s="382">
        <f t="shared" si="5"/>
        <v>0</v>
      </c>
    </row>
    <row r="84" spans="1:8" ht="21.75">
      <c r="A84" s="3" t="s">
        <v>259</v>
      </c>
      <c r="B84" s="22"/>
      <c r="C84" s="22"/>
      <c r="D84" s="22"/>
      <c r="E84" s="4"/>
      <c r="F84" s="383">
        <v>10533.91</v>
      </c>
      <c r="G84" s="15">
        <v>0</v>
      </c>
      <c r="H84" s="15">
        <f t="shared" si="5"/>
        <v>10533.91</v>
      </c>
    </row>
    <row r="85" spans="1:8" ht="21.75">
      <c r="A85" s="360" t="s">
        <v>260</v>
      </c>
      <c r="B85" s="362"/>
      <c r="C85" s="362"/>
      <c r="D85" s="362"/>
      <c r="E85" s="361"/>
      <c r="F85" s="384">
        <v>101000</v>
      </c>
      <c r="G85" s="363">
        <v>0</v>
      </c>
      <c r="H85" s="382">
        <f t="shared" si="5"/>
        <v>101000</v>
      </c>
    </row>
    <row r="86" spans="1:8" ht="21.75">
      <c r="A86" s="3" t="s">
        <v>261</v>
      </c>
      <c r="B86" s="22"/>
      <c r="C86" s="22"/>
      <c r="D86" s="22"/>
      <c r="E86" s="4"/>
      <c r="F86" s="383">
        <v>500</v>
      </c>
      <c r="G86" s="15">
        <v>0</v>
      </c>
      <c r="H86" s="15">
        <f t="shared" si="5"/>
        <v>500</v>
      </c>
    </row>
    <row r="87" spans="1:8" ht="21.75">
      <c r="A87" s="360" t="s">
        <v>262</v>
      </c>
      <c r="B87" s="362"/>
      <c r="C87" s="362"/>
      <c r="D87" s="362"/>
      <c r="E87" s="361"/>
      <c r="F87" s="384">
        <f>H121</f>
        <v>2233683.9099999997</v>
      </c>
      <c r="G87" s="363">
        <v>0</v>
      </c>
      <c r="H87" s="382">
        <f t="shared" si="5"/>
        <v>2233683.9099999997</v>
      </c>
    </row>
    <row r="88" spans="1:8" ht="21.75">
      <c r="A88" s="3" t="s">
        <v>263</v>
      </c>
      <c r="B88" s="22"/>
      <c r="C88" s="22"/>
      <c r="D88" s="22"/>
      <c r="E88" s="4"/>
      <c r="F88" s="383">
        <v>734100.92</v>
      </c>
      <c r="G88" s="15">
        <v>81113.12</v>
      </c>
      <c r="H88" s="15">
        <f t="shared" si="5"/>
        <v>815214.04</v>
      </c>
    </row>
    <row r="89" spans="1:8" ht="21.75">
      <c r="A89" s="360" t="s">
        <v>264</v>
      </c>
      <c r="B89" s="362"/>
      <c r="C89" s="362"/>
      <c r="D89" s="362"/>
      <c r="E89" s="361"/>
      <c r="F89" s="384">
        <f>H123</f>
        <v>0</v>
      </c>
      <c r="G89" s="363">
        <v>4727.19</v>
      </c>
      <c r="H89" s="382">
        <f t="shared" si="5"/>
        <v>4727.19</v>
      </c>
    </row>
    <row r="90" spans="1:8" ht="21.75">
      <c r="A90" s="3" t="s">
        <v>265</v>
      </c>
      <c r="B90" s="22"/>
      <c r="C90" s="22"/>
      <c r="D90" s="22"/>
      <c r="E90" s="4"/>
      <c r="F90" s="383">
        <v>468057.82</v>
      </c>
      <c r="G90" s="15">
        <v>83118.56</v>
      </c>
      <c r="H90" s="15">
        <f t="shared" si="5"/>
        <v>551176.38</v>
      </c>
    </row>
    <row r="91" spans="1:8" ht="21.75">
      <c r="A91" s="360" t="s">
        <v>266</v>
      </c>
      <c r="B91" s="362"/>
      <c r="C91" s="362"/>
      <c r="D91" s="362"/>
      <c r="E91" s="361"/>
      <c r="F91" s="384">
        <v>881672.65</v>
      </c>
      <c r="G91" s="363">
        <v>180142.93</v>
      </c>
      <c r="H91" s="382">
        <f t="shared" si="5"/>
        <v>1061815.58</v>
      </c>
    </row>
    <row r="92" spans="1:8" ht="21.75">
      <c r="A92" s="3" t="s">
        <v>271</v>
      </c>
      <c r="B92" s="22"/>
      <c r="C92" s="22"/>
      <c r="D92" s="22"/>
      <c r="E92" s="4"/>
      <c r="F92" s="383">
        <v>39240.62</v>
      </c>
      <c r="G92" s="15">
        <v>0</v>
      </c>
      <c r="H92" s="15">
        <f t="shared" si="5"/>
        <v>39240.62</v>
      </c>
    </row>
    <row r="93" spans="1:8" ht="21.75">
      <c r="A93" s="360" t="s">
        <v>267</v>
      </c>
      <c r="B93" s="362"/>
      <c r="C93" s="362"/>
      <c r="D93" s="362"/>
      <c r="E93" s="361"/>
      <c r="F93" s="384">
        <v>16297.09</v>
      </c>
      <c r="G93" s="363">
        <v>0</v>
      </c>
      <c r="H93" s="363">
        <f t="shared" si="5"/>
        <v>16297.09</v>
      </c>
    </row>
    <row r="94" spans="1:8" ht="21.75">
      <c r="A94" s="3" t="s">
        <v>272</v>
      </c>
      <c r="B94" s="22"/>
      <c r="C94" s="22"/>
      <c r="D94" s="22"/>
      <c r="E94" s="4"/>
      <c r="F94" s="383">
        <f>H128</f>
        <v>0</v>
      </c>
      <c r="G94" s="15">
        <v>0</v>
      </c>
      <c r="H94" s="15">
        <f t="shared" si="5"/>
        <v>0</v>
      </c>
    </row>
    <row r="95" spans="1:8" ht="21.75">
      <c r="A95" s="360" t="s">
        <v>268</v>
      </c>
      <c r="B95" s="362"/>
      <c r="C95" s="362"/>
      <c r="D95" s="362"/>
      <c r="E95" s="361"/>
      <c r="F95" s="384">
        <v>102399</v>
      </c>
      <c r="G95" s="363">
        <v>0</v>
      </c>
      <c r="H95" s="382">
        <f t="shared" si="5"/>
        <v>102399</v>
      </c>
    </row>
    <row r="96" spans="1:8" ht="21.75">
      <c r="A96" s="3" t="s">
        <v>269</v>
      </c>
      <c r="B96" s="22"/>
      <c r="C96" s="22"/>
      <c r="D96" s="22"/>
      <c r="E96" s="4"/>
      <c r="F96" s="383">
        <f>H130</f>
        <v>0</v>
      </c>
      <c r="G96" s="15">
        <v>0</v>
      </c>
      <c r="H96" s="15">
        <f t="shared" si="5"/>
        <v>0</v>
      </c>
    </row>
    <row r="97" spans="1:8" ht="21.75">
      <c r="A97" s="360" t="s">
        <v>270</v>
      </c>
      <c r="B97" s="362"/>
      <c r="C97" s="362"/>
      <c r="D97" s="362"/>
      <c r="E97" s="361"/>
      <c r="F97" s="384">
        <v>6759381</v>
      </c>
      <c r="G97" s="363">
        <v>0</v>
      </c>
      <c r="H97" s="382">
        <f t="shared" si="5"/>
        <v>6759381</v>
      </c>
    </row>
    <row r="98" spans="6:8" ht="22.5" thickBot="1">
      <c r="F98" s="276">
        <f>F74+F75+F76+F77+F78+F79+F80+F81+F82+F83+F84+F85+F86+F87+F88+F89+F90+F91+F92+F93+F94+F95+F96+F97</f>
        <v>11417860.629999999</v>
      </c>
      <c r="G98" s="276">
        <f>G74+G75+G76+G77+G78+G79+G80+G81+G82+G83+G84+G85+G86+G87+G88+G89+G90+G91+G92+G93+G94+G95+G96+G97</f>
        <v>358027.9</v>
      </c>
      <c r="H98" s="381">
        <f>H74+H75+H76+H77+H78+H79+H80+H81+H82+H83+H84+H85+H86+H87+H88+H89+H90+H91+H92+H93+H94+H95+H96+H97</f>
        <v>11775888.530000001</v>
      </c>
    </row>
    <row r="99" ht="22.5" thickTop="1"/>
    <row r="103" spans="1:8" ht="23.25">
      <c r="A103" s="467" t="s">
        <v>246</v>
      </c>
      <c r="B103" s="467"/>
      <c r="C103" s="467"/>
      <c r="D103" s="467"/>
      <c r="E103" s="467"/>
      <c r="F103" s="467"/>
      <c r="G103" s="467"/>
      <c r="H103" s="467"/>
    </row>
    <row r="104" spans="1:8" ht="21.75">
      <c r="A104" s="468" t="s">
        <v>247</v>
      </c>
      <c r="B104" s="468"/>
      <c r="C104" s="468"/>
      <c r="D104" s="468"/>
      <c r="E104" s="468"/>
      <c r="F104" s="468"/>
      <c r="G104" s="468"/>
      <c r="H104" s="468"/>
    </row>
    <row r="105" spans="1:8" ht="21.75">
      <c r="A105" s="468" t="s">
        <v>396</v>
      </c>
      <c r="B105" s="468"/>
      <c r="C105" s="468"/>
      <c r="D105" s="468"/>
      <c r="E105" s="468"/>
      <c r="F105" s="468"/>
      <c r="G105" s="468"/>
      <c r="H105" s="468"/>
    </row>
    <row r="107" spans="1:8" ht="21.75">
      <c r="A107" s="462" t="s">
        <v>3</v>
      </c>
      <c r="B107" s="463"/>
      <c r="C107" s="463"/>
      <c r="D107" s="463"/>
      <c r="E107" s="464"/>
      <c r="F107" s="357" t="s">
        <v>8</v>
      </c>
      <c r="G107" s="357" t="s">
        <v>273</v>
      </c>
      <c r="H107" s="357" t="s">
        <v>102</v>
      </c>
    </row>
    <row r="108" spans="1:8" ht="21.75">
      <c r="A108" s="3" t="s">
        <v>249</v>
      </c>
      <c r="B108" s="22"/>
      <c r="C108" s="22"/>
      <c r="D108" s="22"/>
      <c r="E108" s="4"/>
      <c r="F108" s="383">
        <v>41105.5</v>
      </c>
      <c r="G108" s="15">
        <v>12325</v>
      </c>
      <c r="H108" s="15">
        <f aca="true" t="shared" si="6" ref="H108:H114">F108+G108</f>
        <v>53430.5</v>
      </c>
    </row>
    <row r="109" spans="1:8" ht="21.75">
      <c r="A109" s="360" t="s">
        <v>250</v>
      </c>
      <c r="B109" s="362"/>
      <c r="C109" s="362"/>
      <c r="D109" s="362"/>
      <c r="E109" s="361"/>
      <c r="F109" s="384">
        <v>8282.52</v>
      </c>
      <c r="G109" s="363">
        <v>7060.69</v>
      </c>
      <c r="H109" s="382">
        <f t="shared" si="6"/>
        <v>15343.21</v>
      </c>
    </row>
    <row r="110" spans="1:8" ht="21.75">
      <c r="A110" s="3" t="s">
        <v>251</v>
      </c>
      <c r="B110" s="22"/>
      <c r="C110" s="22"/>
      <c r="D110" s="22"/>
      <c r="E110" s="4"/>
      <c r="F110" s="383">
        <v>200</v>
      </c>
      <c r="G110" s="15">
        <v>600</v>
      </c>
      <c r="H110" s="15">
        <f t="shared" si="6"/>
        <v>800</v>
      </c>
    </row>
    <row r="111" spans="1:8" ht="21.75">
      <c r="A111" s="360" t="s">
        <v>252</v>
      </c>
      <c r="B111" s="362"/>
      <c r="C111" s="362"/>
      <c r="D111" s="362"/>
      <c r="E111" s="361"/>
      <c r="F111" s="384">
        <f>H145</f>
        <v>920</v>
      </c>
      <c r="G111" s="363">
        <v>0</v>
      </c>
      <c r="H111" s="382">
        <f t="shared" si="6"/>
        <v>920</v>
      </c>
    </row>
    <row r="112" spans="1:8" ht="21.75">
      <c r="A112" s="3" t="s">
        <v>253</v>
      </c>
      <c r="B112" s="22"/>
      <c r="C112" s="22"/>
      <c r="D112" s="22"/>
      <c r="E112" s="4"/>
      <c r="F112" s="383">
        <f>H146</f>
        <v>0</v>
      </c>
      <c r="G112" s="15">
        <v>0</v>
      </c>
      <c r="H112" s="15">
        <f t="shared" si="6"/>
        <v>0</v>
      </c>
    </row>
    <row r="113" spans="1:8" ht="21.75">
      <c r="A113" s="360" t="s">
        <v>254</v>
      </c>
      <c r="B113" s="362"/>
      <c r="C113" s="362"/>
      <c r="D113" s="362"/>
      <c r="E113" s="361"/>
      <c r="F113" s="384">
        <f>H147</f>
        <v>0</v>
      </c>
      <c r="G113" s="363">
        <v>0</v>
      </c>
      <c r="H113" s="382">
        <f t="shared" si="6"/>
        <v>0</v>
      </c>
    </row>
    <row r="114" spans="1:8" ht="21.75">
      <c r="A114" s="3" t="s">
        <v>255</v>
      </c>
      <c r="B114" s="22"/>
      <c r="C114" s="22"/>
      <c r="D114" s="22"/>
      <c r="E114" s="4"/>
      <c r="F114" s="383">
        <v>100</v>
      </c>
      <c r="G114" s="15">
        <v>0</v>
      </c>
      <c r="H114" s="15">
        <f t="shared" si="6"/>
        <v>100</v>
      </c>
    </row>
    <row r="115" spans="1:8" ht="21.75">
      <c r="A115" s="360" t="s">
        <v>256</v>
      </c>
      <c r="B115" s="362"/>
      <c r="C115" s="362"/>
      <c r="D115" s="362"/>
      <c r="E115" s="361"/>
      <c r="F115" s="384">
        <f>H149</f>
        <v>0</v>
      </c>
      <c r="G115" s="363">
        <v>0</v>
      </c>
      <c r="H115" s="382">
        <v>0</v>
      </c>
    </row>
    <row r="116" spans="1:8" ht="21.75">
      <c r="A116" s="3" t="s">
        <v>257</v>
      </c>
      <c r="B116" s="22"/>
      <c r="C116" s="22"/>
      <c r="D116" s="22"/>
      <c r="E116" s="4"/>
      <c r="F116" s="383">
        <f>H150</f>
        <v>400</v>
      </c>
      <c r="G116" s="15">
        <v>0</v>
      </c>
      <c r="H116" s="15">
        <f aca="true" t="shared" si="7" ref="H116:H131">F116+G116</f>
        <v>400</v>
      </c>
    </row>
    <row r="117" spans="1:8" ht="21.75">
      <c r="A117" s="360" t="s">
        <v>258</v>
      </c>
      <c r="B117" s="362"/>
      <c r="C117" s="362"/>
      <c r="D117" s="362"/>
      <c r="E117" s="361"/>
      <c r="F117" s="384">
        <f>H151</f>
        <v>0</v>
      </c>
      <c r="G117" s="363">
        <v>0</v>
      </c>
      <c r="H117" s="382">
        <f t="shared" si="7"/>
        <v>0</v>
      </c>
    </row>
    <row r="118" spans="1:8" ht="21.75">
      <c r="A118" s="3" t="s">
        <v>259</v>
      </c>
      <c r="B118" s="22"/>
      <c r="C118" s="22"/>
      <c r="D118" s="22"/>
      <c r="E118" s="4"/>
      <c r="F118" s="383">
        <v>418.24</v>
      </c>
      <c r="G118" s="15">
        <v>10115.67</v>
      </c>
      <c r="H118" s="15">
        <f t="shared" si="7"/>
        <v>10533.91</v>
      </c>
    </row>
    <row r="119" spans="1:8" ht="21.75">
      <c r="A119" s="360" t="s">
        <v>260</v>
      </c>
      <c r="B119" s="362"/>
      <c r="C119" s="362"/>
      <c r="D119" s="362"/>
      <c r="E119" s="361"/>
      <c r="F119" s="384">
        <v>11000</v>
      </c>
      <c r="G119" s="363">
        <v>90000</v>
      </c>
      <c r="H119" s="382">
        <f t="shared" si="7"/>
        <v>101000</v>
      </c>
    </row>
    <row r="120" spans="1:8" ht="21.75">
      <c r="A120" s="3" t="s">
        <v>261</v>
      </c>
      <c r="B120" s="22"/>
      <c r="C120" s="22"/>
      <c r="D120" s="22"/>
      <c r="E120" s="4"/>
      <c r="F120" s="383">
        <v>500</v>
      </c>
      <c r="G120" s="15">
        <v>0</v>
      </c>
      <c r="H120" s="15">
        <f t="shared" si="7"/>
        <v>500</v>
      </c>
    </row>
    <row r="121" spans="1:8" ht="21.75">
      <c r="A121" s="360" t="s">
        <v>262</v>
      </c>
      <c r="B121" s="362"/>
      <c r="C121" s="362"/>
      <c r="D121" s="362"/>
      <c r="E121" s="361"/>
      <c r="F121" s="384">
        <f>H155</f>
        <v>1450056.3399999999</v>
      </c>
      <c r="G121" s="363">
        <v>783627.57</v>
      </c>
      <c r="H121" s="382">
        <f t="shared" si="7"/>
        <v>2233683.9099999997</v>
      </c>
    </row>
    <row r="122" spans="1:8" ht="21.75">
      <c r="A122" s="3" t="s">
        <v>263</v>
      </c>
      <c r="B122" s="22"/>
      <c r="C122" s="22"/>
      <c r="D122" s="22"/>
      <c r="E122" s="4"/>
      <c r="F122" s="383">
        <v>577770.14</v>
      </c>
      <c r="G122" s="15">
        <v>156330.78</v>
      </c>
      <c r="H122" s="15">
        <f t="shared" si="7"/>
        <v>734100.92</v>
      </c>
    </row>
    <row r="123" spans="1:8" ht="21.75">
      <c r="A123" s="360" t="s">
        <v>264</v>
      </c>
      <c r="B123" s="362"/>
      <c r="C123" s="362"/>
      <c r="D123" s="362"/>
      <c r="E123" s="361"/>
      <c r="F123" s="384">
        <f>H157</f>
        <v>0</v>
      </c>
      <c r="G123" s="363">
        <v>0</v>
      </c>
      <c r="H123" s="382">
        <f t="shared" si="7"/>
        <v>0</v>
      </c>
    </row>
    <row r="124" spans="1:8" ht="21.75">
      <c r="A124" s="3" t="s">
        <v>265</v>
      </c>
      <c r="B124" s="22"/>
      <c r="C124" s="22"/>
      <c r="D124" s="22"/>
      <c r="E124" s="4"/>
      <c r="F124" s="383">
        <v>404034.59</v>
      </c>
      <c r="G124" s="15">
        <v>64023.23</v>
      </c>
      <c r="H124" s="15">
        <f t="shared" si="7"/>
        <v>468057.82</v>
      </c>
    </row>
    <row r="125" spans="1:8" ht="21.75">
      <c r="A125" s="360" t="s">
        <v>266</v>
      </c>
      <c r="B125" s="362"/>
      <c r="C125" s="362"/>
      <c r="D125" s="362"/>
      <c r="E125" s="361"/>
      <c r="F125" s="384">
        <v>725272.88</v>
      </c>
      <c r="G125" s="363">
        <v>156399.77</v>
      </c>
      <c r="H125" s="382">
        <f t="shared" si="7"/>
        <v>881672.65</v>
      </c>
    </row>
    <row r="126" spans="1:8" ht="21.75">
      <c r="A126" s="3" t="s">
        <v>271</v>
      </c>
      <c r="B126" s="22"/>
      <c r="C126" s="22"/>
      <c r="D126" s="22"/>
      <c r="E126" s="4"/>
      <c r="F126" s="383">
        <v>15485.42</v>
      </c>
      <c r="G126" s="15">
        <v>23755.2</v>
      </c>
      <c r="H126" s="15">
        <f t="shared" si="7"/>
        <v>39240.62</v>
      </c>
    </row>
    <row r="127" spans="1:8" ht="21.75">
      <c r="A127" s="360" t="s">
        <v>267</v>
      </c>
      <c r="B127" s="362"/>
      <c r="C127" s="362"/>
      <c r="D127" s="362"/>
      <c r="E127" s="361"/>
      <c r="F127" s="384">
        <v>7741</v>
      </c>
      <c r="G127" s="363">
        <v>8556.09</v>
      </c>
      <c r="H127" s="363">
        <f t="shared" si="7"/>
        <v>16297.09</v>
      </c>
    </row>
    <row r="128" spans="1:8" ht="21.75">
      <c r="A128" s="3" t="s">
        <v>272</v>
      </c>
      <c r="B128" s="22"/>
      <c r="C128" s="22"/>
      <c r="D128" s="22"/>
      <c r="E128" s="4"/>
      <c r="F128" s="383">
        <f>H162</f>
        <v>0</v>
      </c>
      <c r="G128" s="15">
        <v>0</v>
      </c>
      <c r="H128" s="15">
        <f t="shared" si="7"/>
        <v>0</v>
      </c>
    </row>
    <row r="129" spans="1:8" ht="21.75">
      <c r="A129" s="360" t="s">
        <v>268</v>
      </c>
      <c r="B129" s="362"/>
      <c r="C129" s="362"/>
      <c r="D129" s="362"/>
      <c r="E129" s="361"/>
      <c r="F129" s="384">
        <v>62416</v>
      </c>
      <c r="G129" s="363">
        <v>39983</v>
      </c>
      <c r="H129" s="382">
        <f t="shared" si="7"/>
        <v>102399</v>
      </c>
    </row>
    <row r="130" spans="1:8" ht="21.75">
      <c r="A130" s="3" t="s">
        <v>269</v>
      </c>
      <c r="B130" s="22"/>
      <c r="C130" s="22"/>
      <c r="D130" s="22"/>
      <c r="E130" s="4"/>
      <c r="F130" s="383">
        <f>H164</f>
        <v>0</v>
      </c>
      <c r="G130" s="15">
        <v>0</v>
      </c>
      <c r="H130" s="15">
        <f t="shared" si="7"/>
        <v>0</v>
      </c>
    </row>
    <row r="131" spans="1:8" ht="21.75">
      <c r="A131" s="360" t="s">
        <v>270</v>
      </c>
      <c r="B131" s="362"/>
      <c r="C131" s="362"/>
      <c r="D131" s="362"/>
      <c r="E131" s="361"/>
      <c r="F131" s="384">
        <v>6759381</v>
      </c>
      <c r="G131" s="363">
        <v>0</v>
      </c>
      <c r="H131" s="382">
        <f t="shared" si="7"/>
        <v>6759381</v>
      </c>
    </row>
    <row r="132" spans="6:8" ht="22.5" thickBot="1">
      <c r="F132" s="276">
        <f>F108+F109+F110+F111+F112+F113+F114+F115+F116+F117+F118+F119+F120+F121+F122+F123+F124+F125+F126+F127+F128+F129+F130+F131</f>
        <v>10065083.629999999</v>
      </c>
      <c r="G132" s="276">
        <f>G108+G109+G110+G111+G112+G113+G114+G115+G116+G117+G118+G119+G120+G121+G122+G123+G124+G125+G126+G127+G128+G129+G130+G131</f>
        <v>1352777</v>
      </c>
      <c r="H132" s="381">
        <f>H108+H109+H110+H111+H112+H113+H114+H115+H116+H117+H118+H119+H120+H121+H122+H123+H124+H125+H126+H127+H128+H129+H130+H131</f>
        <v>11417860.629999999</v>
      </c>
    </row>
    <row r="133" ht="22.5" thickTop="1"/>
    <row r="137" spans="1:8" ht="23.25">
      <c r="A137" s="467" t="s">
        <v>246</v>
      </c>
      <c r="B137" s="467"/>
      <c r="C137" s="467"/>
      <c r="D137" s="467"/>
      <c r="E137" s="467"/>
      <c r="F137" s="467"/>
      <c r="G137" s="467"/>
      <c r="H137" s="467"/>
    </row>
    <row r="138" spans="1:8" ht="21.75">
      <c r="A138" s="468" t="s">
        <v>247</v>
      </c>
      <c r="B138" s="468"/>
      <c r="C138" s="468"/>
      <c r="D138" s="468"/>
      <c r="E138" s="468"/>
      <c r="F138" s="468"/>
      <c r="G138" s="468"/>
      <c r="H138" s="468"/>
    </row>
    <row r="139" spans="1:8" ht="21.75">
      <c r="A139" s="468" t="s">
        <v>389</v>
      </c>
      <c r="B139" s="468"/>
      <c r="C139" s="468"/>
      <c r="D139" s="468"/>
      <c r="E139" s="468"/>
      <c r="F139" s="468"/>
      <c r="G139" s="468"/>
      <c r="H139" s="468"/>
    </row>
    <row r="141" spans="1:8" ht="21.75">
      <c r="A141" s="462" t="s">
        <v>3</v>
      </c>
      <c r="B141" s="463"/>
      <c r="C141" s="463"/>
      <c r="D141" s="463"/>
      <c r="E141" s="464"/>
      <c r="F141" s="357" t="s">
        <v>8</v>
      </c>
      <c r="G141" s="357" t="s">
        <v>273</v>
      </c>
      <c r="H141" s="357" t="s">
        <v>102</v>
      </c>
    </row>
    <row r="142" spans="1:8" ht="21.75">
      <c r="A142" s="3" t="s">
        <v>249</v>
      </c>
      <c r="B142" s="22"/>
      <c r="C142" s="22"/>
      <c r="D142" s="22"/>
      <c r="E142" s="4"/>
      <c r="F142" s="383">
        <f>H176</f>
        <v>2111.5</v>
      </c>
      <c r="G142" s="15">
        <v>2111.5</v>
      </c>
      <c r="H142" s="15">
        <f aca="true" t="shared" si="8" ref="H142:H148">F142+G142</f>
        <v>4223</v>
      </c>
    </row>
    <row r="143" spans="1:8" ht="21.75">
      <c r="A143" s="360" t="s">
        <v>250</v>
      </c>
      <c r="B143" s="362"/>
      <c r="C143" s="362"/>
      <c r="D143" s="362"/>
      <c r="E143" s="361"/>
      <c r="F143" s="384">
        <f>H177</f>
        <v>5812.82</v>
      </c>
      <c r="G143" s="363">
        <v>2416.9</v>
      </c>
      <c r="H143" s="382">
        <f t="shared" si="8"/>
        <v>8229.72</v>
      </c>
    </row>
    <row r="144" spans="1:8" ht="21.75">
      <c r="A144" s="3" t="s">
        <v>251</v>
      </c>
      <c r="B144" s="22"/>
      <c r="C144" s="22"/>
      <c r="D144" s="22"/>
      <c r="E144" s="4"/>
      <c r="F144" s="383">
        <f aca="true" t="shared" si="9" ref="F144:F165">H178</f>
        <v>0</v>
      </c>
      <c r="G144" s="15">
        <v>0</v>
      </c>
      <c r="H144" s="15">
        <f t="shared" si="8"/>
        <v>0</v>
      </c>
    </row>
    <row r="145" spans="1:8" ht="21.75">
      <c r="A145" s="360" t="s">
        <v>252</v>
      </c>
      <c r="B145" s="362"/>
      <c r="C145" s="362"/>
      <c r="D145" s="362"/>
      <c r="E145" s="361"/>
      <c r="F145" s="384">
        <f t="shared" si="9"/>
        <v>920</v>
      </c>
      <c r="G145" s="363">
        <v>0</v>
      </c>
      <c r="H145" s="382">
        <f t="shared" si="8"/>
        <v>920</v>
      </c>
    </row>
    <row r="146" spans="1:8" ht="21.75">
      <c r="A146" s="3" t="s">
        <v>253</v>
      </c>
      <c r="B146" s="22"/>
      <c r="C146" s="22"/>
      <c r="D146" s="22"/>
      <c r="E146" s="4"/>
      <c r="F146" s="383">
        <f t="shared" si="9"/>
        <v>0</v>
      </c>
      <c r="G146" s="15">
        <v>0</v>
      </c>
      <c r="H146" s="15">
        <f t="shared" si="8"/>
        <v>0</v>
      </c>
    </row>
    <row r="147" spans="1:8" ht="21.75">
      <c r="A147" s="360" t="s">
        <v>254</v>
      </c>
      <c r="B147" s="362"/>
      <c r="C147" s="362"/>
      <c r="D147" s="362"/>
      <c r="E147" s="361"/>
      <c r="F147" s="384">
        <f t="shared" si="9"/>
        <v>0</v>
      </c>
      <c r="G147" s="363">
        <v>0</v>
      </c>
      <c r="H147" s="382">
        <f t="shared" si="8"/>
        <v>0</v>
      </c>
    </row>
    <row r="148" spans="1:8" ht="21.75">
      <c r="A148" s="3" t="s">
        <v>255</v>
      </c>
      <c r="B148" s="22"/>
      <c r="C148" s="22"/>
      <c r="D148" s="22"/>
      <c r="E148" s="4"/>
      <c r="F148" s="383">
        <f t="shared" si="9"/>
        <v>0</v>
      </c>
      <c r="G148" s="15">
        <v>0</v>
      </c>
      <c r="H148" s="15">
        <f t="shared" si="8"/>
        <v>0</v>
      </c>
    </row>
    <row r="149" spans="1:8" ht="21.75">
      <c r="A149" s="360" t="s">
        <v>256</v>
      </c>
      <c r="B149" s="362"/>
      <c r="C149" s="362"/>
      <c r="D149" s="362"/>
      <c r="E149" s="361"/>
      <c r="F149" s="384">
        <f t="shared" si="9"/>
        <v>0</v>
      </c>
      <c r="G149" s="363">
        <v>0</v>
      </c>
      <c r="H149" s="382">
        <v>0</v>
      </c>
    </row>
    <row r="150" spans="1:8" ht="21.75">
      <c r="A150" s="3" t="s">
        <v>257</v>
      </c>
      <c r="B150" s="22"/>
      <c r="C150" s="22"/>
      <c r="D150" s="22"/>
      <c r="E150" s="4"/>
      <c r="F150" s="383">
        <f t="shared" si="9"/>
        <v>400</v>
      </c>
      <c r="G150" s="15">
        <v>0</v>
      </c>
      <c r="H150" s="15">
        <f aca="true" t="shared" si="10" ref="H150:H165">F150+G150</f>
        <v>400</v>
      </c>
    </row>
    <row r="151" spans="1:8" ht="21.75">
      <c r="A151" s="360" t="s">
        <v>258</v>
      </c>
      <c r="B151" s="362"/>
      <c r="C151" s="362"/>
      <c r="D151" s="362"/>
      <c r="E151" s="361"/>
      <c r="F151" s="384">
        <f t="shared" si="9"/>
        <v>0</v>
      </c>
      <c r="G151" s="363">
        <v>0</v>
      </c>
      <c r="H151" s="382">
        <f t="shared" si="10"/>
        <v>0</v>
      </c>
    </row>
    <row r="152" spans="1:8" ht="21.75">
      <c r="A152" s="3" t="s">
        <v>259</v>
      </c>
      <c r="B152" s="22"/>
      <c r="C152" s="22"/>
      <c r="D152" s="22"/>
      <c r="E152" s="4"/>
      <c r="F152" s="383">
        <f t="shared" si="9"/>
        <v>418.24</v>
      </c>
      <c r="G152" s="15">
        <v>418.24</v>
      </c>
      <c r="H152" s="15">
        <f t="shared" si="10"/>
        <v>836.48</v>
      </c>
    </row>
    <row r="153" spans="1:8" ht="21.75">
      <c r="A153" s="360" t="s">
        <v>260</v>
      </c>
      <c r="B153" s="362"/>
      <c r="C153" s="362"/>
      <c r="D153" s="362"/>
      <c r="E153" s="361"/>
      <c r="F153" s="384">
        <f t="shared" si="9"/>
        <v>1000</v>
      </c>
      <c r="G153" s="363">
        <v>1000</v>
      </c>
      <c r="H153" s="382">
        <f t="shared" si="10"/>
        <v>2000</v>
      </c>
    </row>
    <row r="154" spans="1:8" ht="21.75">
      <c r="A154" s="3" t="s">
        <v>261</v>
      </c>
      <c r="B154" s="22"/>
      <c r="C154" s="22"/>
      <c r="D154" s="22"/>
      <c r="E154" s="4"/>
      <c r="F154" s="383">
        <f t="shared" si="9"/>
        <v>0</v>
      </c>
      <c r="G154" s="15">
        <v>0</v>
      </c>
      <c r="H154" s="15">
        <f t="shared" si="10"/>
        <v>0</v>
      </c>
    </row>
    <row r="155" spans="1:8" ht="21.75">
      <c r="A155" s="360" t="s">
        <v>262</v>
      </c>
      <c r="B155" s="362"/>
      <c r="C155" s="362"/>
      <c r="D155" s="362"/>
      <c r="E155" s="361"/>
      <c r="F155" s="384">
        <f t="shared" si="9"/>
        <v>1450056.3399999999</v>
      </c>
      <c r="G155" s="363">
        <v>0</v>
      </c>
      <c r="H155" s="382">
        <f t="shared" si="10"/>
        <v>1450056.3399999999</v>
      </c>
    </row>
    <row r="156" spans="1:8" ht="21.75">
      <c r="A156" s="3" t="s">
        <v>263</v>
      </c>
      <c r="B156" s="22"/>
      <c r="C156" s="22"/>
      <c r="D156" s="22"/>
      <c r="E156" s="4"/>
      <c r="F156" s="383">
        <f t="shared" si="9"/>
        <v>487204.7</v>
      </c>
      <c r="G156" s="15">
        <v>125571.46</v>
      </c>
      <c r="H156" s="15">
        <f t="shared" si="10"/>
        <v>612776.16</v>
      </c>
    </row>
    <row r="157" spans="1:8" ht="21.75">
      <c r="A157" s="360" t="s">
        <v>264</v>
      </c>
      <c r="B157" s="362"/>
      <c r="C157" s="362"/>
      <c r="D157" s="362"/>
      <c r="E157" s="361"/>
      <c r="F157" s="384">
        <f t="shared" si="9"/>
        <v>0</v>
      </c>
      <c r="G157" s="363">
        <v>0</v>
      </c>
      <c r="H157" s="382">
        <f t="shared" si="10"/>
        <v>0</v>
      </c>
    </row>
    <row r="158" spans="1:8" ht="21.75">
      <c r="A158" s="3" t="s">
        <v>265</v>
      </c>
      <c r="B158" s="22"/>
      <c r="C158" s="22"/>
      <c r="D158" s="22"/>
      <c r="E158" s="4"/>
      <c r="F158" s="383">
        <f t="shared" si="9"/>
        <v>340478.22000000003</v>
      </c>
      <c r="G158" s="15">
        <v>73330.14</v>
      </c>
      <c r="H158" s="15">
        <f t="shared" si="10"/>
        <v>413808.36000000004</v>
      </c>
    </row>
    <row r="159" spans="1:8" ht="21.75">
      <c r="A159" s="360" t="s">
        <v>266</v>
      </c>
      <c r="B159" s="362"/>
      <c r="C159" s="362"/>
      <c r="D159" s="362"/>
      <c r="E159" s="361"/>
      <c r="F159" s="384">
        <f t="shared" si="9"/>
        <v>548634.02</v>
      </c>
      <c r="G159" s="363">
        <v>175575.77</v>
      </c>
      <c r="H159" s="382">
        <f t="shared" si="10"/>
        <v>724209.79</v>
      </c>
    </row>
    <row r="160" spans="1:8" ht="21.75">
      <c r="A160" s="3" t="s">
        <v>271</v>
      </c>
      <c r="B160" s="22"/>
      <c r="C160" s="22"/>
      <c r="D160" s="22"/>
      <c r="E160" s="4"/>
      <c r="F160" s="383">
        <f t="shared" si="9"/>
        <v>15485.42</v>
      </c>
      <c r="G160" s="15">
        <v>0</v>
      </c>
      <c r="H160" s="15">
        <f t="shared" si="10"/>
        <v>15485.42</v>
      </c>
    </row>
    <row r="161" spans="1:8" ht="21.75">
      <c r="A161" s="360" t="s">
        <v>267</v>
      </c>
      <c r="B161" s="362"/>
      <c r="C161" s="362"/>
      <c r="D161" s="362"/>
      <c r="E161" s="361"/>
      <c r="F161" s="384">
        <f t="shared" si="9"/>
        <v>7741</v>
      </c>
      <c r="G161" s="363">
        <v>0</v>
      </c>
      <c r="H161" s="363">
        <f t="shared" si="10"/>
        <v>7741</v>
      </c>
    </row>
    <row r="162" spans="1:8" ht="21.75">
      <c r="A162" s="3" t="s">
        <v>272</v>
      </c>
      <c r="B162" s="22"/>
      <c r="C162" s="22"/>
      <c r="D162" s="22"/>
      <c r="E162" s="4"/>
      <c r="F162" s="383">
        <f t="shared" si="9"/>
        <v>0</v>
      </c>
      <c r="G162" s="15">
        <v>0</v>
      </c>
      <c r="H162" s="15">
        <f t="shared" si="10"/>
        <v>0</v>
      </c>
    </row>
    <row r="163" spans="1:8" ht="21.75">
      <c r="A163" s="360" t="s">
        <v>268</v>
      </c>
      <c r="B163" s="362"/>
      <c r="C163" s="362"/>
      <c r="D163" s="362"/>
      <c r="E163" s="361"/>
      <c r="F163" s="384">
        <f t="shared" si="9"/>
        <v>40307</v>
      </c>
      <c r="G163" s="363">
        <v>0</v>
      </c>
      <c r="H163" s="382">
        <f t="shared" si="10"/>
        <v>40307</v>
      </c>
    </row>
    <row r="164" spans="1:8" ht="21.75">
      <c r="A164" s="3" t="s">
        <v>269</v>
      </c>
      <c r="B164" s="22"/>
      <c r="C164" s="22"/>
      <c r="D164" s="22"/>
      <c r="E164" s="4"/>
      <c r="F164" s="383">
        <f t="shared" si="9"/>
        <v>0</v>
      </c>
      <c r="G164" s="15">
        <v>0</v>
      </c>
      <c r="H164" s="15">
        <f t="shared" si="10"/>
        <v>0</v>
      </c>
    </row>
    <row r="165" spans="1:8" ht="21.75">
      <c r="A165" s="360" t="s">
        <v>270</v>
      </c>
      <c r="B165" s="362"/>
      <c r="C165" s="362"/>
      <c r="D165" s="362"/>
      <c r="E165" s="361"/>
      <c r="F165" s="384">
        <f t="shared" si="9"/>
        <v>2151806</v>
      </c>
      <c r="G165" s="363">
        <v>0</v>
      </c>
      <c r="H165" s="382">
        <f t="shared" si="10"/>
        <v>2151806</v>
      </c>
    </row>
    <row r="166" spans="6:8" ht="22.5" thickBot="1">
      <c r="F166" s="276">
        <f>F142+F143+F144+F145+F146+F147+F148+F149+F150+F151+F152+F153+F154+F155+F156+F157+F158+F159+F160+F161+F162+F163+F164+F165</f>
        <v>5052375.26</v>
      </c>
      <c r="G166" s="276">
        <f>G142+G143+G144+G145+G146+G147+G148+G149+G150+G151+G152+G153+G154+G155+G156+G157+G158+G159+G160+G161+G162+G163+G164+G165</f>
        <v>380424.01</v>
      </c>
      <c r="H166" s="381">
        <f>H142+H143+H144+H145+H146+H147+H148+H149+H150+H151+H152+H153+H154+H155+H156+H157+H158+H159+H160+H161+H162+H163+H164+H165</f>
        <v>5432799.27</v>
      </c>
    </row>
    <row r="167" ht="22.5" thickTop="1"/>
    <row r="171" spans="1:8" ht="23.25">
      <c r="A171" s="467" t="s">
        <v>246</v>
      </c>
      <c r="B171" s="467"/>
      <c r="C171" s="467"/>
      <c r="D171" s="467"/>
      <c r="E171" s="467"/>
      <c r="F171" s="467"/>
      <c r="G171" s="467"/>
      <c r="H171" s="467"/>
    </row>
    <row r="172" spans="1:8" ht="21.75">
      <c r="A172" s="468" t="s">
        <v>247</v>
      </c>
      <c r="B172" s="468"/>
      <c r="C172" s="468"/>
      <c r="D172" s="468"/>
      <c r="E172" s="468"/>
      <c r="F172" s="468"/>
      <c r="G172" s="468"/>
      <c r="H172" s="468"/>
    </row>
    <row r="173" spans="1:8" ht="21.75">
      <c r="A173" s="468" t="s">
        <v>379</v>
      </c>
      <c r="B173" s="468"/>
      <c r="C173" s="468"/>
      <c r="D173" s="468"/>
      <c r="E173" s="468"/>
      <c r="F173" s="468"/>
      <c r="G173" s="468"/>
      <c r="H173" s="468"/>
    </row>
    <row r="175" spans="1:8" ht="21.75">
      <c r="A175" s="462" t="s">
        <v>3</v>
      </c>
      <c r="B175" s="463"/>
      <c r="C175" s="463"/>
      <c r="D175" s="463"/>
      <c r="E175" s="464"/>
      <c r="F175" s="357" t="s">
        <v>8</v>
      </c>
      <c r="G175" s="357" t="s">
        <v>273</v>
      </c>
      <c r="H175" s="357" t="s">
        <v>102</v>
      </c>
    </row>
    <row r="176" spans="1:8" ht="21.75">
      <c r="A176" s="3" t="s">
        <v>249</v>
      </c>
      <c r="B176" s="22"/>
      <c r="C176" s="22"/>
      <c r="D176" s="22"/>
      <c r="E176" s="4"/>
      <c r="F176" s="383">
        <f>H210</f>
        <v>0</v>
      </c>
      <c r="G176" s="15">
        <v>2111.5</v>
      </c>
      <c r="H176" s="15">
        <f aca="true" t="shared" si="11" ref="H176:H182">F176+G176</f>
        <v>2111.5</v>
      </c>
    </row>
    <row r="177" spans="1:8" ht="21.75">
      <c r="A177" s="360" t="s">
        <v>250</v>
      </c>
      <c r="B177" s="362"/>
      <c r="C177" s="362"/>
      <c r="D177" s="362"/>
      <c r="E177" s="361"/>
      <c r="F177" s="384">
        <f>H211</f>
        <v>3395.9199999999996</v>
      </c>
      <c r="G177" s="363">
        <v>2416.9</v>
      </c>
      <c r="H177" s="382">
        <f t="shared" si="11"/>
        <v>5812.82</v>
      </c>
    </row>
    <row r="178" spans="1:8" ht="21.75">
      <c r="A178" s="3" t="s">
        <v>251</v>
      </c>
      <c r="B178" s="22"/>
      <c r="C178" s="22"/>
      <c r="D178" s="22"/>
      <c r="E178" s="4"/>
      <c r="F178" s="383">
        <f aca="true" t="shared" si="12" ref="F178:F199">H212</f>
        <v>0</v>
      </c>
      <c r="G178" s="15">
        <v>0</v>
      </c>
      <c r="H178" s="15">
        <f t="shared" si="11"/>
        <v>0</v>
      </c>
    </row>
    <row r="179" spans="1:8" ht="21.75">
      <c r="A179" s="360" t="s">
        <v>252</v>
      </c>
      <c r="B179" s="362"/>
      <c r="C179" s="362"/>
      <c r="D179" s="362"/>
      <c r="E179" s="361"/>
      <c r="F179" s="384">
        <f t="shared" si="12"/>
        <v>920</v>
      </c>
      <c r="G179" s="363">
        <v>0</v>
      </c>
      <c r="H179" s="382">
        <f t="shared" si="11"/>
        <v>920</v>
      </c>
    </row>
    <row r="180" spans="1:8" ht="21.75">
      <c r="A180" s="3" t="s">
        <v>253</v>
      </c>
      <c r="B180" s="22"/>
      <c r="C180" s="22"/>
      <c r="D180" s="22"/>
      <c r="E180" s="4"/>
      <c r="F180" s="383">
        <f t="shared" si="12"/>
        <v>0</v>
      </c>
      <c r="G180" s="15">
        <v>0</v>
      </c>
      <c r="H180" s="15">
        <f t="shared" si="11"/>
        <v>0</v>
      </c>
    </row>
    <row r="181" spans="1:8" ht="21.75">
      <c r="A181" s="360" t="s">
        <v>254</v>
      </c>
      <c r="B181" s="362"/>
      <c r="C181" s="362"/>
      <c r="D181" s="362"/>
      <c r="E181" s="361"/>
      <c r="F181" s="384">
        <f t="shared" si="12"/>
        <v>0</v>
      </c>
      <c r="G181" s="363">
        <v>0</v>
      </c>
      <c r="H181" s="382">
        <f t="shared" si="11"/>
        <v>0</v>
      </c>
    </row>
    <row r="182" spans="1:8" ht="21.75">
      <c r="A182" s="3" t="s">
        <v>255</v>
      </c>
      <c r="B182" s="22"/>
      <c r="C182" s="22"/>
      <c r="D182" s="22"/>
      <c r="E182" s="4"/>
      <c r="F182" s="383">
        <f t="shared" si="12"/>
        <v>0</v>
      </c>
      <c r="G182" s="15">
        <v>0</v>
      </c>
      <c r="H182" s="15">
        <f t="shared" si="11"/>
        <v>0</v>
      </c>
    </row>
    <row r="183" spans="1:8" ht="21.75">
      <c r="A183" s="360" t="s">
        <v>256</v>
      </c>
      <c r="B183" s="362"/>
      <c r="C183" s="362"/>
      <c r="D183" s="362"/>
      <c r="E183" s="361"/>
      <c r="F183" s="384">
        <f t="shared" si="12"/>
        <v>0</v>
      </c>
      <c r="G183" s="363">
        <v>0</v>
      </c>
      <c r="H183" s="382">
        <v>0</v>
      </c>
    </row>
    <row r="184" spans="1:8" ht="21.75">
      <c r="A184" s="3" t="s">
        <v>257</v>
      </c>
      <c r="B184" s="22"/>
      <c r="C184" s="22"/>
      <c r="D184" s="22"/>
      <c r="E184" s="4"/>
      <c r="F184" s="383">
        <f t="shared" si="12"/>
        <v>400</v>
      </c>
      <c r="G184" s="15">
        <v>0</v>
      </c>
      <c r="H184" s="15">
        <f aca="true" t="shared" si="13" ref="H184:H199">F184+G184</f>
        <v>400</v>
      </c>
    </row>
    <row r="185" spans="1:8" ht="21.75">
      <c r="A185" s="360" t="s">
        <v>258</v>
      </c>
      <c r="B185" s="362"/>
      <c r="C185" s="362"/>
      <c r="D185" s="362"/>
      <c r="E185" s="361"/>
      <c r="F185" s="384">
        <f t="shared" si="12"/>
        <v>0</v>
      </c>
      <c r="G185" s="363">
        <v>0</v>
      </c>
      <c r="H185" s="382">
        <f t="shared" si="13"/>
        <v>0</v>
      </c>
    </row>
    <row r="186" spans="1:8" ht="21.75">
      <c r="A186" s="3" t="s">
        <v>259</v>
      </c>
      <c r="B186" s="22"/>
      <c r="C186" s="22"/>
      <c r="D186" s="22"/>
      <c r="E186" s="4"/>
      <c r="F186" s="383">
        <f t="shared" si="12"/>
        <v>0</v>
      </c>
      <c r="G186" s="15">
        <v>418.24</v>
      </c>
      <c r="H186" s="15">
        <f t="shared" si="13"/>
        <v>418.24</v>
      </c>
    </row>
    <row r="187" spans="1:8" ht="21.75">
      <c r="A187" s="360" t="s">
        <v>260</v>
      </c>
      <c r="B187" s="362"/>
      <c r="C187" s="362"/>
      <c r="D187" s="362"/>
      <c r="E187" s="361"/>
      <c r="F187" s="384">
        <f t="shared" si="12"/>
        <v>0</v>
      </c>
      <c r="G187" s="363">
        <v>1000</v>
      </c>
      <c r="H187" s="382">
        <f t="shared" si="13"/>
        <v>1000</v>
      </c>
    </row>
    <row r="188" spans="1:8" ht="21.75">
      <c r="A188" s="3" t="s">
        <v>261</v>
      </c>
      <c r="B188" s="22"/>
      <c r="C188" s="22"/>
      <c r="D188" s="22"/>
      <c r="E188" s="4"/>
      <c r="F188" s="383">
        <f t="shared" si="12"/>
        <v>0</v>
      </c>
      <c r="G188" s="15">
        <v>0</v>
      </c>
      <c r="H188" s="15">
        <f t="shared" si="13"/>
        <v>0</v>
      </c>
    </row>
    <row r="189" spans="1:8" ht="21.75">
      <c r="A189" s="360" t="s">
        <v>262</v>
      </c>
      <c r="B189" s="362"/>
      <c r="C189" s="362"/>
      <c r="D189" s="362"/>
      <c r="E189" s="361"/>
      <c r="F189" s="384">
        <f t="shared" si="12"/>
        <v>1450056.3399999999</v>
      </c>
      <c r="G189" s="363">
        <v>0</v>
      </c>
      <c r="H189" s="382">
        <f t="shared" si="13"/>
        <v>1450056.3399999999</v>
      </c>
    </row>
    <row r="190" spans="1:8" ht="21.75">
      <c r="A190" s="3" t="s">
        <v>263</v>
      </c>
      <c r="B190" s="22"/>
      <c r="C190" s="22"/>
      <c r="D190" s="22"/>
      <c r="E190" s="4"/>
      <c r="F190" s="383">
        <f t="shared" si="12"/>
        <v>361633.24</v>
      </c>
      <c r="G190" s="15">
        <v>125571.46</v>
      </c>
      <c r="H190" s="15">
        <f t="shared" si="13"/>
        <v>487204.7</v>
      </c>
    </row>
    <row r="191" spans="1:8" ht="21.75">
      <c r="A191" s="360" t="s">
        <v>264</v>
      </c>
      <c r="B191" s="362"/>
      <c r="C191" s="362"/>
      <c r="D191" s="362"/>
      <c r="E191" s="361"/>
      <c r="F191" s="384">
        <f t="shared" si="12"/>
        <v>0</v>
      </c>
      <c r="G191" s="363">
        <v>0</v>
      </c>
      <c r="H191" s="382">
        <f t="shared" si="13"/>
        <v>0</v>
      </c>
    </row>
    <row r="192" spans="1:8" ht="21.75">
      <c r="A192" s="3" t="s">
        <v>265</v>
      </c>
      <c r="B192" s="22"/>
      <c r="C192" s="22"/>
      <c r="D192" s="22"/>
      <c r="E192" s="4"/>
      <c r="F192" s="383">
        <f t="shared" si="12"/>
        <v>267148.08</v>
      </c>
      <c r="G192" s="15">
        <v>73330.14</v>
      </c>
      <c r="H192" s="15">
        <f t="shared" si="13"/>
        <v>340478.22000000003</v>
      </c>
    </row>
    <row r="193" spans="1:13" ht="21.75">
      <c r="A193" s="360" t="s">
        <v>266</v>
      </c>
      <c r="B193" s="362"/>
      <c r="C193" s="362"/>
      <c r="D193" s="362"/>
      <c r="E193" s="361"/>
      <c r="F193" s="384">
        <f t="shared" si="12"/>
        <v>373058.25</v>
      </c>
      <c r="G193" s="363">
        <v>175575.77</v>
      </c>
      <c r="H193" s="382">
        <f t="shared" si="13"/>
        <v>548634.02</v>
      </c>
      <c r="M193" s="12">
        <v>4671951.25</v>
      </c>
    </row>
    <row r="194" spans="1:13" ht="21.75">
      <c r="A194" s="3" t="s">
        <v>271</v>
      </c>
      <c r="B194" s="22"/>
      <c r="C194" s="22"/>
      <c r="D194" s="22"/>
      <c r="E194" s="4"/>
      <c r="F194" s="383">
        <f t="shared" si="12"/>
        <v>15485.42</v>
      </c>
      <c r="G194" s="15">
        <v>0</v>
      </c>
      <c r="H194" s="15">
        <f t="shared" si="13"/>
        <v>15485.42</v>
      </c>
      <c r="M194" s="12">
        <v>380424.01</v>
      </c>
    </row>
    <row r="195" spans="1:13" ht="21.75">
      <c r="A195" s="360" t="s">
        <v>267</v>
      </c>
      <c r="B195" s="362"/>
      <c r="C195" s="362"/>
      <c r="D195" s="362"/>
      <c r="E195" s="361"/>
      <c r="F195" s="384">
        <f t="shared" si="12"/>
        <v>7741</v>
      </c>
      <c r="G195" s="363">
        <v>0</v>
      </c>
      <c r="H195" s="363">
        <f t="shared" si="13"/>
        <v>7741</v>
      </c>
      <c r="M195" s="12">
        <f>SUM(M193:M194)</f>
        <v>5052375.26</v>
      </c>
    </row>
    <row r="196" spans="1:13" ht="21.75">
      <c r="A196" s="3" t="s">
        <v>272</v>
      </c>
      <c r="B196" s="22"/>
      <c r="C196" s="22"/>
      <c r="D196" s="22"/>
      <c r="E196" s="4"/>
      <c r="F196" s="383">
        <f t="shared" si="12"/>
        <v>0</v>
      </c>
      <c r="G196" s="15">
        <v>0</v>
      </c>
      <c r="H196" s="15">
        <f t="shared" si="13"/>
        <v>0</v>
      </c>
      <c r="M196" s="12"/>
    </row>
    <row r="197" spans="1:13" ht="21.75">
      <c r="A197" s="360" t="s">
        <v>268</v>
      </c>
      <c r="B197" s="362"/>
      <c r="C197" s="362"/>
      <c r="D197" s="362"/>
      <c r="E197" s="361"/>
      <c r="F197" s="384">
        <f t="shared" si="12"/>
        <v>40307</v>
      </c>
      <c r="G197" s="363">
        <v>0</v>
      </c>
      <c r="H197" s="382">
        <f t="shared" si="13"/>
        <v>40307</v>
      </c>
      <c r="M197" s="12"/>
    </row>
    <row r="198" spans="1:8" ht="21.75">
      <c r="A198" s="3" t="s">
        <v>269</v>
      </c>
      <c r="B198" s="22"/>
      <c r="C198" s="22"/>
      <c r="D198" s="22"/>
      <c r="E198" s="4"/>
      <c r="F198" s="383">
        <f t="shared" si="12"/>
        <v>0</v>
      </c>
      <c r="G198" s="15">
        <v>0</v>
      </c>
      <c r="H198" s="15">
        <f t="shared" si="13"/>
        <v>0</v>
      </c>
    </row>
    <row r="199" spans="1:8" ht="21.75">
      <c r="A199" s="360" t="s">
        <v>270</v>
      </c>
      <c r="B199" s="362"/>
      <c r="C199" s="362"/>
      <c r="D199" s="362"/>
      <c r="E199" s="361"/>
      <c r="F199" s="384">
        <f t="shared" si="12"/>
        <v>2151806</v>
      </c>
      <c r="G199" s="363">
        <v>0</v>
      </c>
      <c r="H199" s="382">
        <f t="shared" si="13"/>
        <v>2151806</v>
      </c>
    </row>
    <row r="200" spans="6:8" ht="22.5" thickBot="1">
      <c r="F200" s="276">
        <f>F176+F177+F178+F179+F180+F181+F182+F183+F184+F185+F186+F187+F188+F189+F190+F191+F192+F193+F194+F195+F196+F197+F198+F199</f>
        <v>4671951.25</v>
      </c>
      <c r="G200" s="276">
        <f>G176+G177+G178+G179+G180+G181+G182+G183+G184+G185+G186+G187+G188+G189+G190+G191+G192+G193+G194+G195+G196+G197+G198+G199</f>
        <v>380424.01</v>
      </c>
      <c r="H200" s="381">
        <f>H176+H177+H178+H179+H180+H181+H182+H183+H184+H185+H186+H187+H188+H189+H190+H191+H192+H193+H194+H195+H196+H197+H198+H199</f>
        <v>5052375.26</v>
      </c>
    </row>
    <row r="201" ht="22.5" thickTop="1"/>
    <row r="205" spans="1:8" ht="23.25">
      <c r="A205" s="467" t="s">
        <v>246</v>
      </c>
      <c r="B205" s="467"/>
      <c r="C205" s="467"/>
      <c r="D205" s="467"/>
      <c r="E205" s="467"/>
      <c r="F205" s="467"/>
      <c r="G205" s="467"/>
      <c r="H205" s="467"/>
    </row>
    <row r="206" spans="1:8" ht="21.75">
      <c r="A206" s="468" t="s">
        <v>247</v>
      </c>
      <c r="B206" s="468"/>
      <c r="C206" s="468"/>
      <c r="D206" s="468"/>
      <c r="E206" s="468"/>
      <c r="F206" s="468"/>
      <c r="G206" s="468"/>
      <c r="H206" s="468"/>
    </row>
    <row r="207" spans="1:8" ht="21.75">
      <c r="A207" s="468" t="s">
        <v>365</v>
      </c>
      <c r="B207" s="468"/>
      <c r="C207" s="468"/>
      <c r="D207" s="468"/>
      <c r="E207" s="468"/>
      <c r="F207" s="468"/>
      <c r="G207" s="468"/>
      <c r="H207" s="468"/>
    </row>
    <row r="209" spans="1:8" ht="21.75">
      <c r="A209" s="462" t="s">
        <v>3</v>
      </c>
      <c r="B209" s="463"/>
      <c r="C209" s="463"/>
      <c r="D209" s="463"/>
      <c r="E209" s="464"/>
      <c r="F209" s="357" t="s">
        <v>8</v>
      </c>
      <c r="G209" s="357" t="s">
        <v>273</v>
      </c>
      <c r="H209" s="357" t="s">
        <v>102</v>
      </c>
    </row>
    <row r="210" spans="1:8" ht="21.75">
      <c r="A210" s="3" t="s">
        <v>249</v>
      </c>
      <c r="B210" s="22"/>
      <c r="C210" s="22"/>
      <c r="D210" s="22"/>
      <c r="E210" s="4"/>
      <c r="F210" s="383">
        <f>H244</f>
        <v>0</v>
      </c>
      <c r="G210" s="15"/>
      <c r="H210" s="15">
        <f aca="true" t="shared" si="14" ref="H210:H216">F210+G210</f>
        <v>0</v>
      </c>
    </row>
    <row r="211" spans="1:8" ht="21.75">
      <c r="A211" s="360" t="s">
        <v>250</v>
      </c>
      <c r="B211" s="362"/>
      <c r="C211" s="362"/>
      <c r="D211" s="362"/>
      <c r="E211" s="361"/>
      <c r="F211" s="384">
        <f>H245</f>
        <v>2978.24</v>
      </c>
      <c r="G211" s="363">
        <v>417.68</v>
      </c>
      <c r="H211" s="382">
        <f t="shared" si="14"/>
        <v>3395.9199999999996</v>
      </c>
    </row>
    <row r="212" spans="1:8" ht="21.75">
      <c r="A212" s="3" t="s">
        <v>251</v>
      </c>
      <c r="B212" s="22"/>
      <c r="C212" s="22"/>
      <c r="D212" s="22"/>
      <c r="E212" s="4"/>
      <c r="F212" s="383">
        <f aca="true" t="shared" si="15" ref="F212:F233">H246</f>
        <v>0</v>
      </c>
      <c r="G212" s="15"/>
      <c r="H212" s="15">
        <f t="shared" si="14"/>
        <v>0</v>
      </c>
    </row>
    <row r="213" spans="1:8" ht="21.75">
      <c r="A213" s="360" t="s">
        <v>252</v>
      </c>
      <c r="B213" s="362"/>
      <c r="C213" s="362"/>
      <c r="D213" s="362"/>
      <c r="E213" s="361"/>
      <c r="F213" s="384">
        <f t="shared" si="15"/>
        <v>690</v>
      </c>
      <c r="G213" s="363">
        <v>230</v>
      </c>
      <c r="H213" s="382">
        <f t="shared" si="14"/>
        <v>920</v>
      </c>
    </row>
    <row r="214" spans="1:8" ht="21.75">
      <c r="A214" s="3" t="s">
        <v>253</v>
      </c>
      <c r="B214" s="22"/>
      <c r="C214" s="22"/>
      <c r="D214" s="22"/>
      <c r="E214" s="4"/>
      <c r="F214" s="383">
        <f t="shared" si="15"/>
        <v>0</v>
      </c>
      <c r="G214" s="15"/>
      <c r="H214" s="15">
        <f t="shared" si="14"/>
        <v>0</v>
      </c>
    </row>
    <row r="215" spans="1:8" ht="21.75">
      <c r="A215" s="360" t="s">
        <v>254</v>
      </c>
      <c r="B215" s="362"/>
      <c r="C215" s="362"/>
      <c r="D215" s="362"/>
      <c r="E215" s="361"/>
      <c r="F215" s="384">
        <f t="shared" si="15"/>
        <v>0</v>
      </c>
      <c r="G215" s="363"/>
      <c r="H215" s="382">
        <f t="shared" si="14"/>
        <v>0</v>
      </c>
    </row>
    <row r="216" spans="1:8" ht="21.75">
      <c r="A216" s="3" t="s">
        <v>255</v>
      </c>
      <c r="B216" s="22"/>
      <c r="C216" s="22"/>
      <c r="D216" s="22"/>
      <c r="E216" s="4"/>
      <c r="F216" s="383">
        <f t="shared" si="15"/>
        <v>0</v>
      </c>
      <c r="G216" s="15"/>
      <c r="H216" s="15">
        <f t="shared" si="14"/>
        <v>0</v>
      </c>
    </row>
    <row r="217" spans="1:8" ht="21.75">
      <c r="A217" s="360" t="s">
        <v>256</v>
      </c>
      <c r="B217" s="362"/>
      <c r="C217" s="362"/>
      <c r="D217" s="362"/>
      <c r="E217" s="361"/>
      <c r="F217" s="384">
        <f t="shared" si="15"/>
        <v>0</v>
      </c>
      <c r="G217" s="363"/>
      <c r="H217" s="382">
        <v>0</v>
      </c>
    </row>
    <row r="218" spans="1:8" ht="21.75">
      <c r="A218" s="3" t="s">
        <v>257</v>
      </c>
      <c r="B218" s="22"/>
      <c r="C218" s="22"/>
      <c r="D218" s="22"/>
      <c r="E218" s="4"/>
      <c r="F218" s="383">
        <f t="shared" si="15"/>
        <v>0</v>
      </c>
      <c r="G218" s="15">
        <v>400</v>
      </c>
      <c r="H218" s="15">
        <f aca="true" t="shared" si="16" ref="H218:H233">F218+G218</f>
        <v>400</v>
      </c>
    </row>
    <row r="219" spans="1:8" ht="21.75">
      <c r="A219" s="360" t="s">
        <v>258</v>
      </c>
      <c r="B219" s="362"/>
      <c r="C219" s="362"/>
      <c r="D219" s="362"/>
      <c r="E219" s="361"/>
      <c r="F219" s="384">
        <f t="shared" si="15"/>
        <v>0</v>
      </c>
      <c r="G219" s="363"/>
      <c r="H219" s="382">
        <f t="shared" si="16"/>
        <v>0</v>
      </c>
    </row>
    <row r="220" spans="1:8" ht="21.75">
      <c r="A220" s="3" t="s">
        <v>259</v>
      </c>
      <c r="B220" s="22"/>
      <c r="C220" s="22"/>
      <c r="D220" s="22"/>
      <c r="E220" s="4"/>
      <c r="F220" s="383">
        <f t="shared" si="15"/>
        <v>0</v>
      </c>
      <c r="G220" s="15"/>
      <c r="H220" s="15">
        <f t="shared" si="16"/>
        <v>0</v>
      </c>
    </row>
    <row r="221" spans="1:8" ht="21.75">
      <c r="A221" s="360" t="s">
        <v>260</v>
      </c>
      <c r="B221" s="362"/>
      <c r="C221" s="362"/>
      <c r="D221" s="362"/>
      <c r="E221" s="361"/>
      <c r="F221" s="384">
        <f t="shared" si="15"/>
        <v>0</v>
      </c>
      <c r="G221" s="363"/>
      <c r="H221" s="382">
        <f t="shared" si="16"/>
        <v>0</v>
      </c>
    </row>
    <row r="222" spans="1:8" ht="21.75">
      <c r="A222" s="3" t="s">
        <v>261</v>
      </c>
      <c r="B222" s="22"/>
      <c r="C222" s="22"/>
      <c r="D222" s="22"/>
      <c r="E222" s="4"/>
      <c r="F222" s="383">
        <f t="shared" si="15"/>
        <v>0</v>
      </c>
      <c r="G222" s="15"/>
      <c r="H222" s="15">
        <f t="shared" si="16"/>
        <v>0</v>
      </c>
    </row>
    <row r="223" spans="1:8" ht="21.75">
      <c r="A223" s="360" t="s">
        <v>262</v>
      </c>
      <c r="B223" s="362"/>
      <c r="C223" s="362"/>
      <c r="D223" s="362"/>
      <c r="E223" s="361"/>
      <c r="F223" s="384">
        <f t="shared" si="15"/>
        <v>681407</v>
      </c>
      <c r="G223" s="363">
        <v>768649.34</v>
      </c>
      <c r="H223" s="382">
        <f t="shared" si="16"/>
        <v>1450056.3399999999</v>
      </c>
    </row>
    <row r="224" spans="1:8" ht="21.75">
      <c r="A224" s="3" t="s">
        <v>263</v>
      </c>
      <c r="B224" s="22"/>
      <c r="C224" s="22"/>
      <c r="D224" s="22"/>
      <c r="E224" s="4"/>
      <c r="F224" s="383">
        <f t="shared" si="15"/>
        <v>232056.71000000002</v>
      </c>
      <c r="G224" s="15">
        <v>129576.53</v>
      </c>
      <c r="H224" s="15">
        <f t="shared" si="16"/>
        <v>361633.24</v>
      </c>
    </row>
    <row r="225" spans="1:8" ht="21.75">
      <c r="A225" s="360" t="s">
        <v>264</v>
      </c>
      <c r="B225" s="362"/>
      <c r="C225" s="362"/>
      <c r="D225" s="362"/>
      <c r="E225" s="361"/>
      <c r="F225" s="384">
        <f t="shared" si="15"/>
        <v>0</v>
      </c>
      <c r="G225" s="363">
        <v>0</v>
      </c>
      <c r="H225" s="382">
        <f t="shared" si="16"/>
        <v>0</v>
      </c>
    </row>
    <row r="226" spans="1:8" ht="21.75">
      <c r="A226" s="3" t="s">
        <v>265</v>
      </c>
      <c r="B226" s="22"/>
      <c r="C226" s="22"/>
      <c r="D226" s="22"/>
      <c r="E226" s="4"/>
      <c r="F226" s="383">
        <f t="shared" si="15"/>
        <v>201770.59</v>
      </c>
      <c r="G226" s="15">
        <v>65377.49</v>
      </c>
      <c r="H226" s="15">
        <f t="shared" si="16"/>
        <v>267148.08</v>
      </c>
    </row>
    <row r="227" spans="1:8" ht="21.75">
      <c r="A227" s="360" t="s">
        <v>266</v>
      </c>
      <c r="B227" s="362"/>
      <c r="C227" s="362"/>
      <c r="D227" s="362"/>
      <c r="E227" s="361"/>
      <c r="F227" s="384">
        <f t="shared" si="15"/>
        <v>219127.76</v>
      </c>
      <c r="G227" s="363">
        <v>153930.49</v>
      </c>
      <c r="H227" s="382">
        <f t="shared" si="16"/>
        <v>373058.25</v>
      </c>
    </row>
    <row r="228" spans="1:8" ht="21.75">
      <c r="A228" s="3" t="s">
        <v>271</v>
      </c>
      <c r="B228" s="22"/>
      <c r="C228" s="22"/>
      <c r="D228" s="22"/>
      <c r="E228" s="4"/>
      <c r="F228" s="383">
        <f t="shared" si="15"/>
        <v>0</v>
      </c>
      <c r="G228" s="15">
        <v>15485.42</v>
      </c>
      <c r="H228" s="15">
        <f t="shared" si="16"/>
        <v>15485.42</v>
      </c>
    </row>
    <row r="229" spans="1:8" ht="21.75">
      <c r="A229" s="360" t="s">
        <v>267</v>
      </c>
      <c r="B229" s="362"/>
      <c r="C229" s="362"/>
      <c r="D229" s="362"/>
      <c r="E229" s="361"/>
      <c r="F229" s="384">
        <f t="shared" si="15"/>
        <v>0</v>
      </c>
      <c r="G229" s="363">
        <v>7741</v>
      </c>
      <c r="H229" s="363">
        <f t="shared" si="16"/>
        <v>7741</v>
      </c>
    </row>
    <row r="230" spans="1:8" ht="21.75">
      <c r="A230" s="3" t="s">
        <v>272</v>
      </c>
      <c r="B230" s="22"/>
      <c r="C230" s="22"/>
      <c r="D230" s="22"/>
      <c r="E230" s="4"/>
      <c r="F230" s="383">
        <f t="shared" si="15"/>
        <v>0</v>
      </c>
      <c r="G230" s="15">
        <v>0</v>
      </c>
      <c r="H230" s="15">
        <f t="shared" si="16"/>
        <v>0</v>
      </c>
    </row>
    <row r="231" spans="1:8" ht="21.75">
      <c r="A231" s="360" t="s">
        <v>268</v>
      </c>
      <c r="B231" s="362"/>
      <c r="C231" s="362"/>
      <c r="D231" s="362"/>
      <c r="E231" s="361"/>
      <c r="F231" s="384">
        <f t="shared" si="15"/>
        <v>38666</v>
      </c>
      <c r="G231" s="363">
        <v>1641</v>
      </c>
      <c r="H231" s="382">
        <f t="shared" si="16"/>
        <v>40307</v>
      </c>
    </row>
    <row r="232" spans="1:8" ht="21.75">
      <c r="A232" s="3" t="s">
        <v>269</v>
      </c>
      <c r="B232" s="22"/>
      <c r="C232" s="22"/>
      <c r="D232" s="22"/>
      <c r="E232" s="4"/>
      <c r="F232" s="383">
        <f t="shared" si="15"/>
        <v>0</v>
      </c>
      <c r="G232" s="15">
        <v>0</v>
      </c>
      <c r="H232" s="15">
        <f t="shared" si="16"/>
        <v>0</v>
      </c>
    </row>
    <row r="233" spans="1:8" ht="21.75">
      <c r="A233" s="360" t="s">
        <v>270</v>
      </c>
      <c r="B233" s="362"/>
      <c r="C233" s="362"/>
      <c r="D233" s="362"/>
      <c r="E233" s="361"/>
      <c r="F233" s="384">
        <f t="shared" si="15"/>
        <v>0</v>
      </c>
      <c r="G233" s="363">
        <v>2151806</v>
      </c>
      <c r="H233" s="382">
        <f t="shared" si="16"/>
        <v>2151806</v>
      </c>
    </row>
    <row r="234" spans="6:8" ht="22.5" thickBot="1">
      <c r="F234" s="276">
        <f>F210+F211+F212+F213+F214+F215+F216+F217+F218+F219+F220+F221+F222+F223+F224+F225+F226+F227+F228+F229+F230+F231+F232+F233</f>
        <v>1376696.3</v>
      </c>
      <c r="G234" s="276">
        <f>G210+G211+G212+G213+G214+G215+G216+G217+G218+G219+G220+G221+G222+G223+G224+G225+G226+G227+G228+G229+G230+G231+G232+G233</f>
        <v>3295254.95</v>
      </c>
      <c r="H234" s="381">
        <f>H210+H211+H212+H213+H214+H215+H216+H217+H218+H219+H220+H221+H222+H223+H224+H225+H226+H227+H228+H229+H230+H231+H232+H233</f>
        <v>4671951.25</v>
      </c>
    </row>
    <row r="235" ht="22.5" thickTop="1"/>
    <row r="239" spans="1:11" ht="23.25">
      <c r="A239" s="467" t="s">
        <v>246</v>
      </c>
      <c r="B239" s="467"/>
      <c r="C239" s="467"/>
      <c r="D239" s="467"/>
      <c r="E239" s="467"/>
      <c r="F239" s="467"/>
      <c r="G239" s="467"/>
      <c r="H239" s="467"/>
      <c r="I239" s="358"/>
      <c r="J239" s="358"/>
      <c r="K239" s="358"/>
    </row>
    <row r="240" spans="1:11" ht="21.75">
      <c r="A240" s="468" t="s">
        <v>247</v>
      </c>
      <c r="B240" s="468"/>
      <c r="C240" s="468"/>
      <c r="D240" s="468"/>
      <c r="E240" s="468"/>
      <c r="F240" s="468"/>
      <c r="G240" s="468"/>
      <c r="H240" s="468"/>
      <c r="I240" s="359"/>
      <c r="J240" s="359"/>
      <c r="K240" s="359"/>
    </row>
    <row r="241" spans="1:11" ht="21.75">
      <c r="A241" s="468" t="s">
        <v>343</v>
      </c>
      <c r="B241" s="468"/>
      <c r="C241" s="468"/>
      <c r="D241" s="468"/>
      <c r="E241" s="468"/>
      <c r="F241" s="468"/>
      <c r="G241" s="468"/>
      <c r="H241" s="468"/>
      <c r="I241" s="359"/>
      <c r="J241" s="359"/>
      <c r="K241" s="359"/>
    </row>
    <row r="242" ht="11.25" customHeight="1"/>
    <row r="243" spans="1:11" ht="23.25" customHeight="1">
      <c r="A243" s="462" t="s">
        <v>3</v>
      </c>
      <c r="B243" s="463"/>
      <c r="C243" s="463"/>
      <c r="D243" s="463"/>
      <c r="E243" s="464"/>
      <c r="F243" s="357" t="s">
        <v>8</v>
      </c>
      <c r="G243" s="357" t="s">
        <v>273</v>
      </c>
      <c r="H243" s="357" t="s">
        <v>102</v>
      </c>
      <c r="I243" s="277"/>
      <c r="J243" s="277"/>
      <c r="K243" s="277"/>
    </row>
    <row r="244" spans="1:8" ht="23.25" customHeight="1">
      <c r="A244" s="3" t="s">
        <v>249</v>
      </c>
      <c r="B244" s="22"/>
      <c r="C244" s="22"/>
      <c r="D244" s="22"/>
      <c r="E244" s="4"/>
      <c r="F244" s="383">
        <f>H277</f>
        <v>0</v>
      </c>
      <c r="G244" s="15"/>
      <c r="H244" s="15">
        <f>F244+G244</f>
        <v>0</v>
      </c>
    </row>
    <row r="245" spans="1:8" ht="23.25" customHeight="1">
      <c r="A245" s="360" t="s">
        <v>250</v>
      </c>
      <c r="B245" s="362"/>
      <c r="C245" s="362"/>
      <c r="D245" s="362"/>
      <c r="E245" s="361"/>
      <c r="F245" s="384">
        <f>H278</f>
        <v>1607.57</v>
      </c>
      <c r="G245" s="363">
        <v>1370.67</v>
      </c>
      <c r="H245" s="382">
        <f>F245+G245</f>
        <v>2978.24</v>
      </c>
    </row>
    <row r="246" spans="1:8" ht="23.25" customHeight="1">
      <c r="A246" s="3" t="s">
        <v>251</v>
      </c>
      <c r="B246" s="22"/>
      <c r="C246" s="22"/>
      <c r="D246" s="22"/>
      <c r="E246" s="4"/>
      <c r="F246" s="383">
        <f>H279</f>
        <v>0</v>
      </c>
      <c r="G246" s="15"/>
      <c r="H246" s="15">
        <f aca="true" t="shared" si="17" ref="H246:H267">F246+G246</f>
        <v>0</v>
      </c>
    </row>
    <row r="247" spans="1:8" ht="23.25" customHeight="1">
      <c r="A247" s="360" t="s">
        <v>252</v>
      </c>
      <c r="B247" s="362"/>
      <c r="C247" s="362"/>
      <c r="D247" s="362"/>
      <c r="E247" s="361"/>
      <c r="F247" s="384">
        <f>H280</f>
        <v>360</v>
      </c>
      <c r="G247" s="363">
        <v>330</v>
      </c>
      <c r="H247" s="382">
        <f t="shared" si="17"/>
        <v>690</v>
      </c>
    </row>
    <row r="248" spans="1:8" ht="23.25" customHeight="1">
      <c r="A248" s="3" t="s">
        <v>253</v>
      </c>
      <c r="B248" s="22"/>
      <c r="C248" s="22"/>
      <c r="D248" s="22"/>
      <c r="E248" s="4"/>
      <c r="F248" s="383">
        <f>H281</f>
        <v>0</v>
      </c>
      <c r="G248" s="15"/>
      <c r="H248" s="15">
        <f t="shared" si="17"/>
        <v>0</v>
      </c>
    </row>
    <row r="249" spans="1:8" ht="23.25" customHeight="1">
      <c r="A249" s="360" t="s">
        <v>254</v>
      </c>
      <c r="B249" s="362"/>
      <c r="C249" s="362"/>
      <c r="D249" s="362"/>
      <c r="E249" s="361"/>
      <c r="F249" s="384">
        <v>0</v>
      </c>
      <c r="G249" s="363"/>
      <c r="H249" s="382">
        <f t="shared" si="17"/>
        <v>0</v>
      </c>
    </row>
    <row r="250" spans="1:8" ht="23.25" customHeight="1">
      <c r="A250" s="3" t="s">
        <v>255</v>
      </c>
      <c r="B250" s="22"/>
      <c r="C250" s="22"/>
      <c r="D250" s="22"/>
      <c r="E250" s="4"/>
      <c r="F250" s="383">
        <f aca="true" t="shared" si="18" ref="F250:F268">H283</f>
        <v>0</v>
      </c>
      <c r="G250" s="15"/>
      <c r="H250" s="15">
        <f t="shared" si="17"/>
        <v>0</v>
      </c>
    </row>
    <row r="251" spans="1:8" ht="23.25" customHeight="1">
      <c r="A251" s="360" t="s">
        <v>256</v>
      </c>
      <c r="B251" s="362"/>
      <c r="C251" s="362"/>
      <c r="D251" s="362"/>
      <c r="E251" s="361"/>
      <c r="F251" s="384">
        <f t="shared" si="18"/>
        <v>0</v>
      </c>
      <c r="G251" s="363"/>
      <c r="H251" s="382">
        <v>0</v>
      </c>
    </row>
    <row r="252" spans="1:8" ht="23.25" customHeight="1">
      <c r="A252" s="3" t="s">
        <v>257</v>
      </c>
      <c r="B252" s="22"/>
      <c r="C252" s="22"/>
      <c r="D252" s="22"/>
      <c r="E252" s="4"/>
      <c r="F252" s="383">
        <f t="shared" si="18"/>
        <v>0</v>
      </c>
      <c r="G252" s="15"/>
      <c r="H252" s="15">
        <f t="shared" si="17"/>
        <v>0</v>
      </c>
    </row>
    <row r="253" spans="1:8" ht="23.25" customHeight="1">
      <c r="A253" s="360" t="s">
        <v>258</v>
      </c>
      <c r="B253" s="362"/>
      <c r="C253" s="362"/>
      <c r="D253" s="362"/>
      <c r="E253" s="361"/>
      <c r="F253" s="384">
        <f t="shared" si="18"/>
        <v>0</v>
      </c>
      <c r="G253" s="363"/>
      <c r="H253" s="382">
        <f t="shared" si="17"/>
        <v>0</v>
      </c>
    </row>
    <row r="254" spans="1:8" ht="23.25" customHeight="1">
      <c r="A254" s="3" t="s">
        <v>259</v>
      </c>
      <c r="B254" s="22"/>
      <c r="C254" s="22"/>
      <c r="D254" s="22"/>
      <c r="E254" s="4"/>
      <c r="F254" s="383">
        <f t="shared" si="18"/>
        <v>0</v>
      </c>
      <c r="G254" s="15"/>
      <c r="H254" s="15">
        <f t="shared" si="17"/>
        <v>0</v>
      </c>
    </row>
    <row r="255" spans="1:8" ht="23.25" customHeight="1">
      <c r="A255" s="360" t="s">
        <v>260</v>
      </c>
      <c r="B255" s="362"/>
      <c r="C255" s="362"/>
      <c r="D255" s="362"/>
      <c r="E255" s="361"/>
      <c r="F255" s="384">
        <f t="shared" si="18"/>
        <v>0</v>
      </c>
      <c r="G255" s="363"/>
      <c r="H255" s="382">
        <f t="shared" si="17"/>
        <v>0</v>
      </c>
    </row>
    <row r="256" spans="1:8" ht="23.25" customHeight="1">
      <c r="A256" s="3" t="s">
        <v>261</v>
      </c>
      <c r="B256" s="22"/>
      <c r="C256" s="22"/>
      <c r="D256" s="22"/>
      <c r="E256" s="4"/>
      <c r="F256" s="383">
        <f t="shared" si="18"/>
        <v>0</v>
      </c>
      <c r="G256" s="15"/>
      <c r="H256" s="15">
        <f t="shared" si="17"/>
        <v>0</v>
      </c>
    </row>
    <row r="257" spans="1:8" ht="23.25" customHeight="1">
      <c r="A257" s="360" t="s">
        <v>262</v>
      </c>
      <c r="B257" s="362"/>
      <c r="C257" s="362"/>
      <c r="D257" s="362"/>
      <c r="E257" s="361"/>
      <c r="F257" s="384">
        <f t="shared" si="18"/>
        <v>681407</v>
      </c>
      <c r="G257" s="363">
        <v>0</v>
      </c>
      <c r="H257" s="382">
        <f t="shared" si="17"/>
        <v>681407</v>
      </c>
    </row>
    <row r="258" spans="1:8" ht="23.25" customHeight="1">
      <c r="A258" s="3" t="s">
        <v>263</v>
      </c>
      <c r="B258" s="22"/>
      <c r="C258" s="22"/>
      <c r="D258" s="22"/>
      <c r="E258" s="4"/>
      <c r="F258" s="383">
        <f t="shared" si="18"/>
        <v>115489.16</v>
      </c>
      <c r="G258" s="15">
        <v>116567.55</v>
      </c>
      <c r="H258" s="15">
        <f t="shared" si="17"/>
        <v>232056.71000000002</v>
      </c>
    </row>
    <row r="259" spans="1:8" ht="23.25" customHeight="1">
      <c r="A259" s="360" t="s">
        <v>264</v>
      </c>
      <c r="B259" s="362"/>
      <c r="C259" s="362"/>
      <c r="D259" s="362"/>
      <c r="E259" s="361"/>
      <c r="F259" s="384">
        <f t="shared" si="18"/>
        <v>0</v>
      </c>
      <c r="G259" s="363"/>
      <c r="H259" s="382">
        <f t="shared" si="17"/>
        <v>0</v>
      </c>
    </row>
    <row r="260" spans="1:8" ht="23.25" customHeight="1">
      <c r="A260" s="3" t="s">
        <v>265</v>
      </c>
      <c r="B260" s="22"/>
      <c r="C260" s="22"/>
      <c r="D260" s="22"/>
      <c r="E260" s="4"/>
      <c r="F260" s="383">
        <f t="shared" si="18"/>
        <v>148154.56</v>
      </c>
      <c r="G260" s="15">
        <v>53616.03</v>
      </c>
      <c r="H260" s="15">
        <f t="shared" si="17"/>
        <v>201770.59</v>
      </c>
    </row>
    <row r="261" spans="1:8" ht="23.25" customHeight="1">
      <c r="A261" s="360" t="s">
        <v>266</v>
      </c>
      <c r="B261" s="362"/>
      <c r="C261" s="362"/>
      <c r="D261" s="362"/>
      <c r="E261" s="361"/>
      <c r="F261" s="384">
        <f t="shared" si="18"/>
        <v>50653.97</v>
      </c>
      <c r="G261" s="363">
        <v>168473.79</v>
      </c>
      <c r="H261" s="382">
        <f t="shared" si="17"/>
        <v>219127.76</v>
      </c>
    </row>
    <row r="262" spans="1:8" ht="23.25" customHeight="1">
      <c r="A262" s="3" t="s">
        <v>271</v>
      </c>
      <c r="B262" s="22"/>
      <c r="C262" s="22"/>
      <c r="D262" s="22"/>
      <c r="E262" s="4"/>
      <c r="F262" s="383">
        <f t="shared" si="18"/>
        <v>0</v>
      </c>
      <c r="G262" s="15"/>
      <c r="H262" s="15">
        <f t="shared" si="17"/>
        <v>0</v>
      </c>
    </row>
    <row r="263" spans="1:8" ht="23.25" customHeight="1">
      <c r="A263" s="360" t="s">
        <v>267</v>
      </c>
      <c r="B263" s="362"/>
      <c r="C263" s="362"/>
      <c r="D263" s="362"/>
      <c r="E263" s="361"/>
      <c r="F263" s="384">
        <f t="shared" si="18"/>
        <v>0</v>
      </c>
      <c r="G263" s="363"/>
      <c r="H263" s="363">
        <f t="shared" si="17"/>
        <v>0</v>
      </c>
    </row>
    <row r="264" spans="1:8" ht="23.25" customHeight="1">
      <c r="A264" s="3" t="s">
        <v>272</v>
      </c>
      <c r="B264" s="22"/>
      <c r="C264" s="22"/>
      <c r="D264" s="22"/>
      <c r="E264" s="4"/>
      <c r="F264" s="383">
        <f t="shared" si="18"/>
        <v>0</v>
      </c>
      <c r="G264" s="15"/>
      <c r="H264" s="15">
        <f t="shared" si="17"/>
        <v>0</v>
      </c>
    </row>
    <row r="265" spans="1:8" ht="23.25" customHeight="1">
      <c r="A265" s="360" t="s">
        <v>268</v>
      </c>
      <c r="B265" s="362"/>
      <c r="C265" s="362"/>
      <c r="D265" s="362"/>
      <c r="E265" s="361"/>
      <c r="F265" s="384">
        <f t="shared" si="18"/>
        <v>0</v>
      </c>
      <c r="G265" s="363">
        <v>38666</v>
      </c>
      <c r="H265" s="382">
        <f t="shared" si="17"/>
        <v>38666</v>
      </c>
    </row>
    <row r="266" spans="1:8" ht="23.25" customHeight="1">
      <c r="A266" s="3" t="s">
        <v>269</v>
      </c>
      <c r="B266" s="22"/>
      <c r="C266" s="22"/>
      <c r="D266" s="22"/>
      <c r="E266" s="4"/>
      <c r="F266" s="383">
        <f t="shared" si="18"/>
        <v>0</v>
      </c>
      <c r="G266" s="15"/>
      <c r="H266" s="15">
        <f t="shared" si="17"/>
        <v>0</v>
      </c>
    </row>
    <row r="267" spans="1:8" ht="23.25" customHeight="1">
      <c r="A267" s="360" t="s">
        <v>270</v>
      </c>
      <c r="B267" s="362"/>
      <c r="C267" s="362"/>
      <c r="D267" s="362"/>
      <c r="E267" s="361"/>
      <c r="F267" s="384">
        <f t="shared" si="18"/>
        <v>0</v>
      </c>
      <c r="G267" s="363"/>
      <c r="H267" s="382">
        <f t="shared" si="17"/>
        <v>0</v>
      </c>
    </row>
    <row r="268" spans="6:8" ht="23.25" customHeight="1" thickBot="1">
      <c r="F268" s="276">
        <f t="shared" si="18"/>
        <v>997672.26</v>
      </c>
      <c r="G268" s="276">
        <f>G244+G245+G246+G247+G248+G249+G250+G251+G252+G253+G254+G255+G256+G257+G258+G259+G260+G261+G262+G263+G264+G265+G266+G267</f>
        <v>379024.04000000004</v>
      </c>
      <c r="H268" s="381">
        <f>H244+H245+H246+H247+H248+H249+H250+H251+H252+H253+H254+H255+H256+H257+H258+H259+H260+H261+H262+H263+H264+H265+H266+H267</f>
        <v>1376696.3</v>
      </c>
    </row>
    <row r="269" ht="22.5" thickTop="1"/>
    <row r="272" spans="1:8" ht="23.25">
      <c r="A272" s="467" t="s">
        <v>246</v>
      </c>
      <c r="B272" s="467"/>
      <c r="C272" s="467"/>
      <c r="D272" s="467"/>
      <c r="E272" s="467"/>
      <c r="F272" s="467"/>
      <c r="G272" s="467"/>
      <c r="H272" s="467"/>
    </row>
    <row r="273" spans="1:8" ht="21.75">
      <c r="A273" s="468" t="s">
        <v>247</v>
      </c>
      <c r="B273" s="468"/>
      <c r="C273" s="468"/>
      <c r="D273" s="468"/>
      <c r="E273" s="468"/>
      <c r="F273" s="468"/>
      <c r="G273" s="468"/>
      <c r="H273" s="468"/>
    </row>
    <row r="274" spans="1:8" ht="21.75">
      <c r="A274" s="468" t="s">
        <v>248</v>
      </c>
      <c r="B274" s="468"/>
      <c r="C274" s="468"/>
      <c r="D274" s="468"/>
      <c r="E274" s="468"/>
      <c r="F274" s="468"/>
      <c r="G274" s="468"/>
      <c r="H274" s="468"/>
    </row>
    <row r="276" spans="1:8" ht="21.75">
      <c r="A276" s="462" t="s">
        <v>3</v>
      </c>
      <c r="B276" s="463"/>
      <c r="C276" s="463"/>
      <c r="D276" s="463"/>
      <c r="E276" s="464"/>
      <c r="F276" s="357" t="s">
        <v>8</v>
      </c>
      <c r="G276" s="357" t="s">
        <v>273</v>
      </c>
      <c r="H276" s="357" t="s">
        <v>102</v>
      </c>
    </row>
    <row r="277" spans="1:8" ht="21.75">
      <c r="A277" s="3" t="s">
        <v>249</v>
      </c>
      <c r="B277" s="22"/>
      <c r="C277" s="22"/>
      <c r="D277" s="22"/>
      <c r="E277" s="4"/>
      <c r="F277" s="383"/>
      <c r="G277" s="15"/>
      <c r="H277" s="15">
        <f>F277+G277</f>
        <v>0</v>
      </c>
    </row>
    <row r="278" spans="1:8" ht="21.75">
      <c r="A278" s="360" t="s">
        <v>250</v>
      </c>
      <c r="B278" s="362"/>
      <c r="C278" s="362"/>
      <c r="D278" s="362"/>
      <c r="E278" s="361"/>
      <c r="F278" s="384"/>
      <c r="G278" s="363">
        <v>1607.57</v>
      </c>
      <c r="H278" s="382">
        <f>F278+G278</f>
        <v>1607.57</v>
      </c>
    </row>
    <row r="279" spans="1:8" ht="21.75">
      <c r="A279" s="3" t="s">
        <v>251</v>
      </c>
      <c r="B279" s="22"/>
      <c r="C279" s="22"/>
      <c r="D279" s="22"/>
      <c r="E279" s="4"/>
      <c r="F279" s="383"/>
      <c r="G279" s="15"/>
      <c r="H279" s="15">
        <f aca="true" t="shared" si="19" ref="H279:H300">F279+G279</f>
        <v>0</v>
      </c>
    </row>
    <row r="280" spans="1:8" ht="21.75">
      <c r="A280" s="360" t="s">
        <v>252</v>
      </c>
      <c r="B280" s="362"/>
      <c r="C280" s="362"/>
      <c r="D280" s="362"/>
      <c r="E280" s="361"/>
      <c r="F280" s="384"/>
      <c r="G280" s="363">
        <v>360</v>
      </c>
      <c r="H280" s="382">
        <f t="shared" si="19"/>
        <v>360</v>
      </c>
    </row>
    <row r="281" spans="1:8" ht="21.75">
      <c r="A281" s="3" t="s">
        <v>253</v>
      </c>
      <c r="B281" s="22"/>
      <c r="C281" s="22"/>
      <c r="D281" s="22"/>
      <c r="E281" s="4"/>
      <c r="F281" s="383"/>
      <c r="G281" s="15"/>
      <c r="H281" s="15">
        <f t="shared" si="19"/>
        <v>0</v>
      </c>
    </row>
    <row r="282" spans="1:8" ht="21.75">
      <c r="A282" s="360" t="s">
        <v>254</v>
      </c>
      <c r="B282" s="362"/>
      <c r="C282" s="362"/>
      <c r="D282" s="362"/>
      <c r="E282" s="361"/>
      <c r="F282" s="384"/>
      <c r="G282" s="363"/>
      <c r="H282" s="382">
        <f t="shared" si="19"/>
        <v>0</v>
      </c>
    </row>
    <row r="283" spans="1:8" ht="21.75">
      <c r="A283" s="3" t="s">
        <v>255</v>
      </c>
      <c r="B283" s="22"/>
      <c r="C283" s="22"/>
      <c r="D283" s="22"/>
      <c r="E283" s="4"/>
      <c r="F283" s="383"/>
      <c r="G283" s="15"/>
      <c r="H283" s="15">
        <f t="shared" si="19"/>
        <v>0</v>
      </c>
    </row>
    <row r="284" spans="1:8" ht="21.75">
      <c r="A284" s="360" t="s">
        <v>256</v>
      </c>
      <c r="B284" s="362"/>
      <c r="C284" s="362"/>
      <c r="D284" s="362"/>
      <c r="E284" s="361"/>
      <c r="F284" s="384"/>
      <c r="G284" s="363"/>
      <c r="H284" s="382">
        <f t="shared" si="19"/>
        <v>0</v>
      </c>
    </row>
    <row r="285" spans="1:8" ht="21.75">
      <c r="A285" s="3" t="s">
        <v>257</v>
      </c>
      <c r="B285" s="22"/>
      <c r="C285" s="22"/>
      <c r="D285" s="22"/>
      <c r="E285" s="4"/>
      <c r="F285" s="383"/>
      <c r="G285" s="15"/>
      <c r="H285" s="15">
        <f t="shared" si="19"/>
        <v>0</v>
      </c>
    </row>
    <row r="286" spans="1:8" ht="21.75">
      <c r="A286" s="360" t="s">
        <v>258</v>
      </c>
      <c r="B286" s="362"/>
      <c r="C286" s="362"/>
      <c r="D286" s="362"/>
      <c r="E286" s="361"/>
      <c r="F286" s="384"/>
      <c r="G286" s="363"/>
      <c r="H286" s="382">
        <f t="shared" si="19"/>
        <v>0</v>
      </c>
    </row>
    <row r="287" spans="1:8" ht="21.75">
      <c r="A287" s="3" t="s">
        <v>259</v>
      </c>
      <c r="B287" s="22"/>
      <c r="C287" s="22"/>
      <c r="D287" s="22"/>
      <c r="E287" s="4"/>
      <c r="F287" s="383"/>
      <c r="G287" s="15"/>
      <c r="H287" s="15">
        <f t="shared" si="19"/>
        <v>0</v>
      </c>
    </row>
    <row r="288" spans="1:8" ht="21.75">
      <c r="A288" s="360" t="s">
        <v>260</v>
      </c>
      <c r="B288" s="362"/>
      <c r="C288" s="362"/>
      <c r="D288" s="362"/>
      <c r="E288" s="361"/>
      <c r="F288" s="384"/>
      <c r="G288" s="363"/>
      <c r="H288" s="382">
        <f t="shared" si="19"/>
        <v>0</v>
      </c>
    </row>
    <row r="289" spans="1:8" ht="21.75">
      <c r="A289" s="3" t="s">
        <v>261</v>
      </c>
      <c r="B289" s="22"/>
      <c r="C289" s="22"/>
      <c r="D289" s="22"/>
      <c r="E289" s="4"/>
      <c r="F289" s="383"/>
      <c r="G289" s="15"/>
      <c r="H289" s="15">
        <f t="shared" si="19"/>
        <v>0</v>
      </c>
    </row>
    <row r="290" spans="1:8" ht="21.75">
      <c r="A290" s="360" t="s">
        <v>262</v>
      </c>
      <c r="B290" s="362"/>
      <c r="C290" s="362"/>
      <c r="D290" s="362"/>
      <c r="E290" s="361"/>
      <c r="F290" s="384"/>
      <c r="G290" s="363">
        <v>681407</v>
      </c>
      <c r="H290" s="382">
        <f t="shared" si="19"/>
        <v>681407</v>
      </c>
    </row>
    <row r="291" spans="1:8" ht="21.75">
      <c r="A291" s="3" t="s">
        <v>263</v>
      </c>
      <c r="B291" s="22"/>
      <c r="C291" s="22"/>
      <c r="D291" s="22"/>
      <c r="E291" s="4"/>
      <c r="F291" s="383"/>
      <c r="G291" s="15">
        <v>115489.16</v>
      </c>
      <c r="H291" s="15">
        <f t="shared" si="19"/>
        <v>115489.16</v>
      </c>
    </row>
    <row r="292" spans="1:8" ht="21.75">
      <c r="A292" s="360" t="s">
        <v>264</v>
      </c>
      <c r="B292" s="362"/>
      <c r="C292" s="362"/>
      <c r="D292" s="362"/>
      <c r="E292" s="361"/>
      <c r="F292" s="384"/>
      <c r="G292" s="363"/>
      <c r="H292" s="382">
        <f t="shared" si="19"/>
        <v>0</v>
      </c>
    </row>
    <row r="293" spans="1:8" ht="21.75">
      <c r="A293" s="3" t="s">
        <v>265</v>
      </c>
      <c r="B293" s="22"/>
      <c r="C293" s="22"/>
      <c r="D293" s="22"/>
      <c r="E293" s="4"/>
      <c r="F293" s="383"/>
      <c r="G293" s="15">
        <v>148154.56</v>
      </c>
      <c r="H293" s="15">
        <f t="shared" si="19"/>
        <v>148154.56</v>
      </c>
    </row>
    <row r="294" spans="1:8" ht="21.75">
      <c r="A294" s="360" t="s">
        <v>266</v>
      </c>
      <c r="B294" s="362"/>
      <c r="C294" s="362"/>
      <c r="D294" s="362"/>
      <c r="E294" s="361"/>
      <c r="F294" s="384"/>
      <c r="G294" s="363">
        <v>50653.97</v>
      </c>
      <c r="H294" s="382">
        <f t="shared" si="19"/>
        <v>50653.97</v>
      </c>
    </row>
    <row r="295" spans="1:8" ht="21.75">
      <c r="A295" s="3" t="s">
        <v>271</v>
      </c>
      <c r="B295" s="22"/>
      <c r="C295" s="22"/>
      <c r="D295" s="22"/>
      <c r="E295" s="4"/>
      <c r="F295" s="383"/>
      <c r="G295" s="15"/>
      <c r="H295" s="15">
        <f t="shared" si="19"/>
        <v>0</v>
      </c>
    </row>
    <row r="296" spans="1:8" ht="21.75">
      <c r="A296" s="360" t="s">
        <v>267</v>
      </c>
      <c r="B296" s="362"/>
      <c r="C296" s="362"/>
      <c r="D296" s="362"/>
      <c r="E296" s="361"/>
      <c r="F296" s="384"/>
      <c r="G296" s="363"/>
      <c r="H296" s="363">
        <f t="shared" si="19"/>
        <v>0</v>
      </c>
    </row>
    <row r="297" spans="1:8" ht="21.75">
      <c r="A297" s="3" t="s">
        <v>272</v>
      </c>
      <c r="B297" s="22"/>
      <c r="C297" s="22"/>
      <c r="D297" s="22"/>
      <c r="E297" s="4"/>
      <c r="F297" s="383"/>
      <c r="G297" s="15"/>
      <c r="H297" s="15">
        <f t="shared" si="19"/>
        <v>0</v>
      </c>
    </row>
    <row r="298" spans="1:8" ht="21.75">
      <c r="A298" s="360" t="s">
        <v>268</v>
      </c>
      <c r="B298" s="362"/>
      <c r="C298" s="362"/>
      <c r="D298" s="362"/>
      <c r="E298" s="361"/>
      <c r="F298" s="384"/>
      <c r="G298" s="363"/>
      <c r="H298" s="382">
        <f t="shared" si="19"/>
        <v>0</v>
      </c>
    </row>
    <row r="299" spans="1:8" ht="21.75">
      <c r="A299" s="3" t="s">
        <v>269</v>
      </c>
      <c r="B299" s="22"/>
      <c r="C299" s="22"/>
      <c r="D299" s="22"/>
      <c r="E299" s="4"/>
      <c r="F299" s="383"/>
      <c r="G299" s="15"/>
      <c r="H299" s="15">
        <f t="shared" si="19"/>
        <v>0</v>
      </c>
    </row>
    <row r="300" spans="1:8" ht="21.75">
      <c r="A300" s="360" t="s">
        <v>270</v>
      </c>
      <c r="B300" s="362"/>
      <c r="C300" s="362"/>
      <c r="D300" s="362"/>
      <c r="E300" s="361"/>
      <c r="F300" s="384"/>
      <c r="G300" s="363"/>
      <c r="H300" s="382">
        <f t="shared" si="19"/>
        <v>0</v>
      </c>
    </row>
    <row r="301" spans="6:8" ht="22.5" thickBot="1">
      <c r="F301" s="12"/>
      <c r="G301" s="276">
        <f>G277+G278+G279+G280+G281+G282+G283+G284+G285+G286+G287+G288+G289+G290+G291+G292+G293+G294+G295+G296+G297+G298+G299+G300</f>
        <v>997672.26</v>
      </c>
      <c r="H301" s="381">
        <f>H277+H278+H279+H280+H281+H282+H283+H284+H285+H286+H287+H288+H289+H290+H291+H292+H293+H294+H295+H296+H297+H298+H299+H300</f>
        <v>997672.26</v>
      </c>
    </row>
    <row r="302" ht="22.5" thickTop="1"/>
    <row r="305" spans="1:8" ht="23.25">
      <c r="A305" s="465"/>
      <c r="B305" s="465"/>
      <c r="C305" s="465"/>
      <c r="D305" s="465"/>
      <c r="E305" s="465"/>
      <c r="F305" s="465"/>
      <c r="G305" s="465"/>
      <c r="H305" s="465"/>
    </row>
    <row r="306" spans="1:8" ht="21.75">
      <c r="A306" s="466"/>
      <c r="B306" s="466"/>
      <c r="C306" s="466"/>
      <c r="D306" s="466"/>
      <c r="E306" s="466"/>
      <c r="F306" s="466"/>
      <c r="G306" s="466"/>
      <c r="H306" s="466"/>
    </row>
    <row r="307" spans="1:8" ht="21.75">
      <c r="A307" s="466"/>
      <c r="B307" s="466"/>
      <c r="C307" s="466"/>
      <c r="D307" s="466"/>
      <c r="E307" s="466"/>
      <c r="F307" s="466"/>
      <c r="G307" s="466"/>
      <c r="H307" s="466"/>
    </row>
    <row r="308" spans="1:8" ht="21.75">
      <c r="A308" s="22"/>
      <c r="B308" s="22"/>
      <c r="C308" s="22"/>
      <c r="D308" s="22"/>
      <c r="E308" s="22"/>
      <c r="F308" s="22"/>
      <c r="G308" s="22"/>
      <c r="H308" s="22"/>
    </row>
    <row r="309" spans="1:8" ht="21.75">
      <c r="A309" s="483"/>
      <c r="B309" s="483"/>
      <c r="C309" s="483"/>
      <c r="D309" s="483"/>
      <c r="E309" s="483"/>
      <c r="F309" s="418"/>
      <c r="G309" s="418"/>
      <c r="H309" s="418"/>
    </row>
    <row r="310" spans="1:8" ht="21.75">
      <c r="A310" s="22"/>
      <c r="B310" s="22"/>
      <c r="C310" s="22"/>
      <c r="D310" s="22"/>
      <c r="E310" s="22"/>
      <c r="F310" s="406"/>
      <c r="G310" s="17"/>
      <c r="H310" s="17"/>
    </row>
    <row r="311" spans="1:8" ht="21.75">
      <c r="A311" s="22"/>
      <c r="B311" s="22"/>
      <c r="C311" s="22"/>
      <c r="D311" s="22"/>
      <c r="E311" s="22"/>
      <c r="F311" s="406"/>
      <c r="G311" s="17"/>
      <c r="H311" s="428"/>
    </row>
    <row r="312" spans="1:8" ht="21.75">
      <c r="A312" s="22"/>
      <c r="B312" s="22"/>
      <c r="C312" s="22"/>
      <c r="D312" s="22"/>
      <c r="E312" s="22"/>
      <c r="F312" s="406"/>
      <c r="G312" s="17"/>
      <c r="H312" s="17"/>
    </row>
    <row r="313" spans="1:8" ht="21.75">
      <c r="A313" s="22"/>
      <c r="B313" s="22"/>
      <c r="C313" s="22"/>
      <c r="D313" s="22"/>
      <c r="E313" s="22"/>
      <c r="F313" s="406"/>
      <c r="G313" s="17"/>
      <c r="H313" s="428"/>
    </row>
    <row r="314" spans="1:8" ht="21.75">
      <c r="A314" s="22"/>
      <c r="B314" s="22"/>
      <c r="C314" s="22"/>
      <c r="D314" s="22"/>
      <c r="E314" s="22"/>
      <c r="F314" s="406"/>
      <c r="G314" s="17"/>
      <c r="H314" s="17"/>
    </row>
    <row r="315" spans="1:8" ht="21.75">
      <c r="A315" s="22"/>
      <c r="B315" s="22"/>
      <c r="C315" s="22"/>
      <c r="D315" s="22"/>
      <c r="E315" s="22"/>
      <c r="F315" s="406"/>
      <c r="G315" s="17"/>
      <c r="H315" s="428"/>
    </row>
    <row r="316" spans="1:8" ht="21.75">
      <c r="A316" s="22"/>
      <c r="B316" s="22"/>
      <c r="C316" s="22"/>
      <c r="D316" s="22"/>
      <c r="E316" s="22"/>
      <c r="F316" s="406"/>
      <c r="G316" s="17"/>
      <c r="H316" s="17"/>
    </row>
    <row r="317" spans="1:8" ht="21.75">
      <c r="A317" s="22"/>
      <c r="B317" s="22"/>
      <c r="C317" s="22"/>
      <c r="D317" s="22"/>
      <c r="E317" s="22"/>
      <c r="F317" s="406"/>
      <c r="G317" s="17"/>
      <c r="H317" s="428"/>
    </row>
    <row r="318" spans="1:8" ht="21.75">
      <c r="A318" s="22"/>
      <c r="B318" s="22"/>
      <c r="C318" s="22"/>
      <c r="D318" s="22"/>
      <c r="E318" s="22"/>
      <c r="F318" s="406"/>
      <c r="G318" s="17"/>
      <c r="H318" s="17"/>
    </row>
    <row r="319" spans="1:8" ht="21.75">
      <c r="A319" s="22"/>
      <c r="B319" s="22"/>
      <c r="C319" s="22"/>
      <c r="D319" s="22"/>
      <c r="E319" s="22"/>
      <c r="F319" s="406"/>
      <c r="G319" s="17"/>
      <c r="H319" s="428"/>
    </row>
    <row r="320" spans="1:8" ht="21.75">
      <c r="A320" s="22"/>
      <c r="B320" s="22"/>
      <c r="C320" s="22"/>
      <c r="D320" s="22"/>
      <c r="E320" s="22"/>
      <c r="F320" s="406"/>
      <c r="G320" s="17"/>
      <c r="H320" s="17"/>
    </row>
    <row r="321" spans="1:8" ht="21.75">
      <c r="A321" s="22"/>
      <c r="B321" s="22"/>
      <c r="C321" s="22"/>
      <c r="D321" s="22"/>
      <c r="E321" s="22"/>
      <c r="F321" s="406"/>
      <c r="G321" s="17"/>
      <c r="H321" s="428"/>
    </row>
    <row r="322" spans="1:8" ht="21.75">
      <c r="A322" s="22"/>
      <c r="B322" s="22"/>
      <c r="C322" s="22"/>
      <c r="D322" s="22"/>
      <c r="E322" s="22"/>
      <c r="F322" s="406"/>
      <c r="G322" s="17"/>
      <c r="H322" s="17"/>
    </row>
    <row r="323" spans="1:8" ht="21.75">
      <c r="A323" s="22"/>
      <c r="B323" s="22"/>
      <c r="C323" s="22"/>
      <c r="D323" s="22"/>
      <c r="E323" s="22"/>
      <c r="F323" s="406"/>
      <c r="G323" s="17"/>
      <c r="H323" s="428"/>
    </row>
    <row r="324" spans="1:8" ht="21.75">
      <c r="A324" s="22"/>
      <c r="B324" s="22"/>
      <c r="C324" s="22"/>
      <c r="D324" s="22"/>
      <c r="E324" s="22"/>
      <c r="F324" s="406"/>
      <c r="G324" s="17"/>
      <c r="H324" s="17"/>
    </row>
    <row r="325" spans="1:8" ht="21.75">
      <c r="A325" s="22"/>
      <c r="B325" s="22"/>
      <c r="C325" s="22"/>
      <c r="D325" s="22"/>
      <c r="E325" s="22"/>
      <c r="F325" s="406"/>
      <c r="G325" s="17"/>
      <c r="H325" s="428"/>
    </row>
    <row r="326" spans="1:8" ht="21.75">
      <c r="A326" s="22"/>
      <c r="B326" s="22"/>
      <c r="C326" s="22"/>
      <c r="D326" s="22"/>
      <c r="E326" s="22"/>
      <c r="F326" s="406"/>
      <c r="G326" s="17"/>
      <c r="H326" s="17"/>
    </row>
    <row r="327" spans="1:8" ht="21.75">
      <c r="A327" s="22"/>
      <c r="B327" s="22"/>
      <c r="C327" s="22"/>
      <c r="D327" s="22"/>
      <c r="E327" s="22"/>
      <c r="F327" s="406"/>
      <c r="G327" s="17"/>
      <c r="H327" s="428"/>
    </row>
    <row r="328" spans="1:8" ht="21.75">
      <c r="A328" s="22"/>
      <c r="B328" s="22"/>
      <c r="C328" s="22"/>
      <c r="D328" s="22"/>
      <c r="E328" s="22"/>
      <c r="F328" s="406"/>
      <c r="G328" s="17"/>
      <c r="H328" s="17"/>
    </row>
    <row r="329" spans="1:8" ht="21.75">
      <c r="A329" s="22"/>
      <c r="B329" s="22"/>
      <c r="C329" s="22"/>
      <c r="D329" s="22"/>
      <c r="E329" s="22"/>
      <c r="F329" s="406"/>
      <c r="G329" s="17"/>
      <c r="H329" s="17"/>
    </row>
    <row r="330" spans="1:8" ht="21.75">
      <c r="A330" s="22"/>
      <c r="B330" s="22"/>
      <c r="C330" s="22"/>
      <c r="D330" s="22"/>
      <c r="E330" s="22"/>
      <c r="F330" s="406"/>
      <c r="G330" s="17"/>
      <c r="H330" s="17"/>
    </row>
    <row r="331" spans="1:8" ht="21.75">
      <c r="A331" s="22"/>
      <c r="B331" s="22"/>
      <c r="C331" s="22"/>
      <c r="D331" s="22"/>
      <c r="E331" s="22"/>
      <c r="F331" s="406"/>
      <c r="G331" s="17"/>
      <c r="H331" s="428"/>
    </row>
    <row r="332" spans="1:8" ht="21.75">
      <c r="A332" s="22"/>
      <c r="B332" s="22"/>
      <c r="C332" s="22"/>
      <c r="D332" s="22"/>
      <c r="E332" s="22"/>
      <c r="F332" s="406"/>
      <c r="G332" s="17"/>
      <c r="H332" s="17"/>
    </row>
    <row r="333" spans="1:8" ht="21.75">
      <c r="A333" s="22"/>
      <c r="B333" s="22"/>
      <c r="C333" s="22"/>
      <c r="D333" s="22"/>
      <c r="E333" s="22"/>
      <c r="F333" s="406"/>
      <c r="G333" s="17"/>
      <c r="H333" s="428"/>
    </row>
    <row r="334" spans="1:8" ht="21.75">
      <c r="A334" s="22"/>
      <c r="B334" s="22"/>
      <c r="C334" s="22"/>
      <c r="D334" s="22"/>
      <c r="E334" s="22"/>
      <c r="F334" s="300"/>
      <c r="G334" s="300"/>
      <c r="H334" s="300"/>
    </row>
  </sheetData>
  <mergeCells count="40">
    <mergeCell ref="A137:H137"/>
    <mergeCell ref="A138:H138"/>
    <mergeCell ref="A139:H139"/>
    <mergeCell ref="A141:E141"/>
    <mergeCell ref="A171:H171"/>
    <mergeCell ref="A172:H172"/>
    <mergeCell ref="A173:H173"/>
    <mergeCell ref="A175:E175"/>
    <mergeCell ref="A305:H305"/>
    <mergeCell ref="A306:H306"/>
    <mergeCell ref="A307:H307"/>
    <mergeCell ref="A309:E309"/>
    <mergeCell ref="A239:H239"/>
    <mergeCell ref="A240:H240"/>
    <mergeCell ref="A241:H241"/>
    <mergeCell ref="A243:E243"/>
    <mergeCell ref="A272:H272"/>
    <mergeCell ref="A273:H273"/>
    <mergeCell ref="A274:H274"/>
    <mergeCell ref="A276:E276"/>
    <mergeCell ref="A205:H205"/>
    <mergeCell ref="A206:H206"/>
    <mergeCell ref="A207:H207"/>
    <mergeCell ref="A209:E209"/>
    <mergeCell ref="A103:H103"/>
    <mergeCell ref="A104:H104"/>
    <mergeCell ref="A105:H105"/>
    <mergeCell ref="A107:E107"/>
    <mergeCell ref="A69:H69"/>
    <mergeCell ref="A70:H70"/>
    <mergeCell ref="A71:H71"/>
    <mergeCell ref="A73:E73"/>
    <mergeCell ref="A35:H35"/>
    <mergeCell ref="A36:H36"/>
    <mergeCell ref="A37:H37"/>
    <mergeCell ref="A39:E39"/>
    <mergeCell ref="A1:H1"/>
    <mergeCell ref="A2:H2"/>
    <mergeCell ref="A3:H3"/>
    <mergeCell ref="A5:E5"/>
  </mergeCells>
  <printOptions/>
  <pageMargins left="0.5" right="0.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5"/>
  <sheetViews>
    <sheetView workbookViewId="0" topLeftCell="A231">
      <selection activeCell="A259" sqref="A259:IV259"/>
    </sheetView>
  </sheetViews>
  <sheetFormatPr defaultColWidth="9.140625" defaultRowHeight="21.75"/>
  <cols>
    <col min="5" max="5" width="5.140625" style="0" customWidth="1"/>
    <col min="6" max="6" width="12.7109375" style="0" customWidth="1"/>
    <col min="7" max="7" width="14.00390625" style="0" bestFit="1" customWidth="1"/>
    <col min="8" max="8" width="12.57421875" style="0" customWidth="1"/>
    <col min="9" max="9" width="12.7109375" style="0" customWidth="1"/>
    <col min="10" max="10" width="12.421875" style="0" customWidth="1"/>
    <col min="12" max="13" width="12.421875" style="0" bestFit="1" customWidth="1"/>
  </cols>
  <sheetData>
    <row r="1" spans="1:10" ht="29.25">
      <c r="A1" s="496" t="s">
        <v>296</v>
      </c>
      <c r="B1" s="496"/>
      <c r="C1" s="496"/>
      <c r="D1" s="496"/>
      <c r="E1" s="496"/>
      <c r="F1" s="496"/>
      <c r="G1" s="496"/>
      <c r="H1" s="496"/>
      <c r="I1" s="496"/>
      <c r="J1" s="496"/>
    </row>
    <row r="2" spans="1:10" ht="23.25">
      <c r="A2" s="497" t="s">
        <v>352</v>
      </c>
      <c r="B2" s="497"/>
      <c r="C2" s="497"/>
      <c r="D2" s="497"/>
      <c r="E2" s="497"/>
      <c r="F2" s="497"/>
      <c r="G2" s="497"/>
      <c r="H2" s="497"/>
      <c r="I2" s="497"/>
      <c r="J2" s="497"/>
    </row>
    <row r="3" spans="1:10" ht="21.75">
      <c r="A3" s="491" t="s">
        <v>3</v>
      </c>
      <c r="B3" s="492"/>
      <c r="C3" s="492"/>
      <c r="D3" s="492"/>
      <c r="E3" s="492"/>
      <c r="F3" s="462" t="s">
        <v>218</v>
      </c>
      <c r="G3" s="464"/>
      <c r="H3" s="462" t="s">
        <v>219</v>
      </c>
      <c r="I3" s="464"/>
      <c r="J3" s="494" t="s">
        <v>102</v>
      </c>
    </row>
    <row r="4" spans="1:10" ht="27" customHeight="1">
      <c r="A4" s="493"/>
      <c r="B4" s="486"/>
      <c r="C4" s="486"/>
      <c r="D4" s="486"/>
      <c r="E4" s="486"/>
      <c r="F4" s="357" t="s">
        <v>6</v>
      </c>
      <c r="G4" s="356" t="s">
        <v>83</v>
      </c>
      <c r="H4" s="357" t="s">
        <v>6</v>
      </c>
      <c r="I4" s="357" t="s">
        <v>83</v>
      </c>
      <c r="J4" s="495"/>
    </row>
    <row r="5" spans="1:10" ht="21.75">
      <c r="A5" s="484" t="s">
        <v>297</v>
      </c>
      <c r="B5" s="484"/>
      <c r="C5" s="484"/>
      <c r="D5" s="484"/>
      <c r="E5" s="489"/>
      <c r="F5" s="24"/>
      <c r="G5" s="25"/>
      <c r="H5" s="25"/>
      <c r="I5" s="25"/>
      <c r="J5" s="26"/>
    </row>
    <row r="6" spans="1:10" ht="21.75">
      <c r="A6" s="24" t="s">
        <v>299</v>
      </c>
      <c r="B6" s="25"/>
      <c r="C6" s="25"/>
      <c r="D6" s="25"/>
      <c r="E6" s="25"/>
      <c r="F6" s="30"/>
      <c r="G6" s="25"/>
      <c r="H6" s="30"/>
      <c r="I6" s="30"/>
      <c r="J6" s="26"/>
    </row>
    <row r="7" spans="1:12" ht="21.75">
      <c r="A7" s="360" t="s">
        <v>300</v>
      </c>
      <c r="B7" s="362"/>
      <c r="C7" s="362"/>
      <c r="D7" s="362"/>
      <c r="E7" s="362"/>
      <c r="F7" s="411"/>
      <c r="G7" s="362"/>
      <c r="H7" s="411"/>
      <c r="I7" s="411"/>
      <c r="J7" s="361"/>
      <c r="L7">
        <v>1</v>
      </c>
    </row>
    <row r="8" spans="1:10" ht="21.75">
      <c r="A8" s="360"/>
      <c r="B8" s="362"/>
      <c r="C8" s="362"/>
      <c r="D8" s="362"/>
      <c r="E8" s="362"/>
      <c r="F8" s="411"/>
      <c r="G8" s="362"/>
      <c r="H8" s="411"/>
      <c r="I8" s="411"/>
      <c r="J8" s="361"/>
    </row>
    <row r="9" spans="1:10" ht="21.75">
      <c r="A9" s="360"/>
      <c r="B9" s="362"/>
      <c r="C9" s="362"/>
      <c r="D9" s="362"/>
      <c r="E9" s="362"/>
      <c r="F9" s="411"/>
      <c r="G9" s="362"/>
      <c r="H9" s="411"/>
      <c r="I9" s="411"/>
      <c r="J9" s="361"/>
    </row>
    <row r="10" spans="1:10" ht="21.75">
      <c r="A10" s="490" t="s">
        <v>298</v>
      </c>
      <c r="B10" s="484"/>
      <c r="C10" s="484"/>
      <c r="D10" s="484"/>
      <c r="E10" s="484"/>
      <c r="F10" s="360"/>
      <c r="G10" s="362"/>
      <c r="H10" s="362"/>
      <c r="I10" s="362"/>
      <c r="J10" s="361"/>
    </row>
    <row r="11" spans="1:10" ht="21.75">
      <c r="A11" s="360" t="s">
        <v>341</v>
      </c>
      <c r="B11" s="362"/>
      <c r="C11" s="362"/>
      <c r="D11" s="362"/>
      <c r="E11" s="362"/>
      <c r="F11" s="421">
        <v>1422000</v>
      </c>
      <c r="G11" s="422">
        <v>1422000</v>
      </c>
      <c r="H11" s="421">
        <v>0</v>
      </c>
      <c r="I11" s="419">
        <v>0</v>
      </c>
      <c r="J11" s="32">
        <f>G11-I11</f>
        <v>1422000</v>
      </c>
    </row>
    <row r="12" spans="1:12" ht="21.75">
      <c r="A12" s="360" t="s">
        <v>340</v>
      </c>
      <c r="B12" s="362"/>
      <c r="C12" s="362"/>
      <c r="D12" s="362"/>
      <c r="E12" s="362"/>
      <c r="F12" s="421">
        <v>1610000</v>
      </c>
      <c r="G12" s="422">
        <v>1610000</v>
      </c>
      <c r="H12" s="421">
        <v>1610000</v>
      </c>
      <c r="I12" s="419">
        <v>1610000</v>
      </c>
      <c r="J12" s="32">
        <f>G12-I12</f>
        <v>0</v>
      </c>
      <c r="L12">
        <v>474</v>
      </c>
    </row>
    <row r="13" spans="1:12" ht="21.75">
      <c r="A13" s="360"/>
      <c r="B13" s="362"/>
      <c r="C13" s="362"/>
      <c r="D13" s="362"/>
      <c r="E13" s="362"/>
      <c r="F13" s="363"/>
      <c r="G13" s="420"/>
      <c r="H13" s="363"/>
      <c r="I13" s="363"/>
      <c r="J13" s="393">
        <f>G13-I13</f>
        <v>0</v>
      </c>
      <c r="L13">
        <v>500</v>
      </c>
    </row>
    <row r="14" spans="1:12" ht="21.75">
      <c r="A14" s="360"/>
      <c r="B14" s="362"/>
      <c r="C14" s="362"/>
      <c r="D14" s="362"/>
      <c r="E14" s="362"/>
      <c r="F14" s="363"/>
      <c r="G14" s="420"/>
      <c r="H14" s="363"/>
      <c r="I14" s="363"/>
      <c r="J14" s="393">
        <f>G14-I14</f>
        <v>0</v>
      </c>
      <c r="L14">
        <v>6</v>
      </c>
    </row>
    <row r="15" spans="1:12" ht="21.75">
      <c r="A15" s="24"/>
      <c r="B15" s="25"/>
      <c r="C15" s="25"/>
      <c r="D15" s="25"/>
      <c r="E15" s="25"/>
      <c r="F15" s="419"/>
      <c r="G15" s="31"/>
      <c r="H15" s="419"/>
      <c r="I15" s="419"/>
      <c r="J15" s="419">
        <f>G15-I15</f>
        <v>0</v>
      </c>
      <c r="L15" s="12">
        <f>L12*L13*L14</f>
        <v>1422000</v>
      </c>
    </row>
    <row r="16" spans="6:10" ht="22.5" thickBot="1">
      <c r="F16" s="423">
        <f>F6+F7+F11+F12+F13+F14+F15</f>
        <v>3032000</v>
      </c>
      <c r="G16" s="424">
        <f>G6+G7+G11+G12+G13+G14+G15</f>
        <v>3032000</v>
      </c>
      <c r="H16" s="423">
        <f>H6+H7+H11+H12+H13+H14+H15</f>
        <v>1610000</v>
      </c>
      <c r="I16" s="424">
        <f>I6+I7+I11+I12+I13+I14+I15</f>
        <v>1610000</v>
      </c>
      <c r="J16" s="425">
        <f>J6+J7+J8+J9+J11+J12+J13+J14+J15</f>
        <v>1422000</v>
      </c>
    </row>
    <row r="17" ht="22.5" thickTop="1"/>
    <row r="35" spans="1:10" ht="29.25">
      <c r="A35" s="496" t="s">
        <v>296</v>
      </c>
      <c r="B35" s="496"/>
      <c r="C35" s="496"/>
      <c r="D35" s="496"/>
      <c r="E35" s="496"/>
      <c r="F35" s="496"/>
      <c r="G35" s="496"/>
      <c r="H35" s="496"/>
      <c r="I35" s="496"/>
      <c r="J35" s="496"/>
    </row>
    <row r="36" spans="1:10" ht="23.25">
      <c r="A36" s="497" t="s">
        <v>370</v>
      </c>
      <c r="B36" s="497"/>
      <c r="C36" s="497"/>
      <c r="D36" s="497"/>
      <c r="E36" s="497"/>
      <c r="F36" s="497"/>
      <c r="G36" s="497"/>
      <c r="H36" s="497"/>
      <c r="I36" s="497"/>
      <c r="J36" s="497"/>
    </row>
    <row r="37" spans="1:10" ht="21.75">
      <c r="A37" s="491" t="s">
        <v>3</v>
      </c>
      <c r="B37" s="492"/>
      <c r="C37" s="492"/>
      <c r="D37" s="492"/>
      <c r="E37" s="492"/>
      <c r="F37" s="462" t="s">
        <v>218</v>
      </c>
      <c r="G37" s="464"/>
      <c r="H37" s="462" t="s">
        <v>219</v>
      </c>
      <c r="I37" s="464"/>
      <c r="J37" s="494" t="s">
        <v>102</v>
      </c>
    </row>
    <row r="38" spans="1:10" ht="21.75">
      <c r="A38" s="493"/>
      <c r="B38" s="486"/>
      <c r="C38" s="486"/>
      <c r="D38" s="486"/>
      <c r="E38" s="486"/>
      <c r="F38" s="357" t="s">
        <v>6</v>
      </c>
      <c r="G38" s="356" t="s">
        <v>83</v>
      </c>
      <c r="H38" s="357" t="s">
        <v>6</v>
      </c>
      <c r="I38" s="357" t="s">
        <v>83</v>
      </c>
      <c r="J38" s="495"/>
    </row>
    <row r="39" spans="1:10" ht="21.75">
      <c r="A39" s="484" t="s">
        <v>297</v>
      </c>
      <c r="B39" s="484"/>
      <c r="C39" s="484"/>
      <c r="D39" s="484"/>
      <c r="E39" s="489"/>
      <c r="F39" s="24"/>
      <c r="G39" s="25"/>
      <c r="H39" s="25"/>
      <c r="I39" s="25"/>
      <c r="J39" s="26"/>
    </row>
    <row r="40" spans="1:10" ht="21.75">
      <c r="A40" s="360" t="s">
        <v>300</v>
      </c>
      <c r="B40" s="362"/>
      <c r="C40" s="362"/>
      <c r="D40" s="362"/>
      <c r="E40" s="362"/>
      <c r="F40" s="411"/>
      <c r="G40" s="362"/>
      <c r="H40" s="411"/>
      <c r="I40" s="411"/>
      <c r="J40" s="361"/>
    </row>
    <row r="41" spans="1:10" ht="21.75">
      <c r="A41" s="360"/>
      <c r="B41" s="362"/>
      <c r="C41" s="362"/>
      <c r="D41" s="362"/>
      <c r="E41" s="362"/>
      <c r="F41" s="411"/>
      <c r="G41" s="362"/>
      <c r="H41" s="411"/>
      <c r="I41" s="411"/>
      <c r="J41" s="361"/>
    </row>
    <row r="42" spans="1:10" ht="21.75">
      <c r="A42" s="360"/>
      <c r="B42" s="362"/>
      <c r="C42" s="362"/>
      <c r="D42" s="362"/>
      <c r="E42" s="362"/>
      <c r="F42" s="411"/>
      <c r="G42" s="362"/>
      <c r="H42" s="411"/>
      <c r="I42" s="411"/>
      <c r="J42" s="361"/>
    </row>
    <row r="43" spans="1:10" ht="21.75">
      <c r="A43" s="490" t="s">
        <v>298</v>
      </c>
      <c r="B43" s="484"/>
      <c r="C43" s="484"/>
      <c r="D43" s="484"/>
      <c r="E43" s="484"/>
      <c r="F43" s="360"/>
      <c r="G43" s="362"/>
      <c r="H43" s="362"/>
      <c r="I43" s="362"/>
      <c r="J43" s="361"/>
    </row>
    <row r="44" spans="1:10" ht="21.75">
      <c r="A44" s="360" t="s">
        <v>341</v>
      </c>
      <c r="B44" s="362"/>
      <c r="C44" s="362"/>
      <c r="D44" s="362"/>
      <c r="E44" s="362"/>
      <c r="F44" s="430"/>
      <c r="G44" s="422">
        <v>1422000</v>
      </c>
      <c r="H44" s="421">
        <v>707500</v>
      </c>
      <c r="I44" s="421">
        <v>707500</v>
      </c>
      <c r="J44" s="431">
        <f>G44-I44</f>
        <v>714500</v>
      </c>
    </row>
    <row r="45" spans="1:10" ht="21.75">
      <c r="A45" s="360" t="s">
        <v>340</v>
      </c>
      <c r="B45" s="362"/>
      <c r="C45" s="362"/>
      <c r="D45" s="362"/>
      <c r="E45" s="362"/>
      <c r="F45" s="432"/>
      <c r="G45" s="433">
        <v>1610000</v>
      </c>
      <c r="H45" s="434"/>
      <c r="I45" s="434">
        <v>1610000</v>
      </c>
      <c r="J45" s="435">
        <f>J12</f>
        <v>0</v>
      </c>
    </row>
    <row r="46" spans="1:10" ht="21.75">
      <c r="A46" s="360" t="s">
        <v>371</v>
      </c>
      <c r="B46" s="362"/>
      <c r="C46" s="362"/>
      <c r="D46" s="362"/>
      <c r="E46" s="362"/>
      <c r="F46" s="434">
        <v>152028</v>
      </c>
      <c r="G46" s="433">
        <v>152028</v>
      </c>
      <c r="H46" s="434">
        <v>93480</v>
      </c>
      <c r="I46" s="434">
        <v>93480</v>
      </c>
      <c r="J46" s="436">
        <f>G46-I46</f>
        <v>58548</v>
      </c>
    </row>
    <row r="47" spans="1:10" ht="21.75">
      <c r="A47" s="360"/>
      <c r="B47" s="362"/>
      <c r="C47" s="362"/>
      <c r="D47" s="362"/>
      <c r="E47" s="362"/>
      <c r="F47" s="432"/>
      <c r="G47" s="433"/>
      <c r="H47" s="434"/>
      <c r="I47" s="434"/>
      <c r="J47" s="437"/>
    </row>
    <row r="48" spans="1:10" ht="21.75">
      <c r="A48" s="24"/>
      <c r="B48" s="25"/>
      <c r="C48" s="25"/>
      <c r="D48" s="25"/>
      <c r="E48" s="25"/>
      <c r="F48" s="430"/>
      <c r="G48" s="438"/>
      <c r="H48" s="430"/>
      <c r="I48" s="430"/>
      <c r="J48" s="430"/>
    </row>
    <row r="49" spans="6:12" ht="22.5" thickBot="1">
      <c r="F49" s="439">
        <f>+F40+F44+F45+F46+F47+F48</f>
        <v>152028</v>
      </c>
      <c r="G49" s="440">
        <f>+G40+G44+G45+G46+G47+G48</f>
        <v>3184028</v>
      </c>
      <c r="H49" s="439">
        <f>+H40+H44+H45+H46+H47+H48</f>
        <v>800980</v>
      </c>
      <c r="I49" s="440">
        <f>+I40+I44+I45+I46+I47+I48</f>
        <v>2410980</v>
      </c>
      <c r="J49" s="441">
        <f>+J40+J41+J42+J44+J45+J46+J47+J48</f>
        <v>773048</v>
      </c>
      <c r="L49">
        <v>2</v>
      </c>
    </row>
    <row r="50" ht="22.5" thickTop="1"/>
    <row r="67" spans="1:10" ht="29.25">
      <c r="A67" s="496" t="s">
        <v>296</v>
      </c>
      <c r="B67" s="496"/>
      <c r="C67" s="496"/>
      <c r="D67" s="496"/>
      <c r="E67" s="496"/>
      <c r="F67" s="496"/>
      <c r="G67" s="496"/>
      <c r="H67" s="496"/>
      <c r="I67" s="496"/>
      <c r="J67" s="496"/>
    </row>
    <row r="68" spans="1:10" ht="23.25">
      <c r="A68" s="497" t="s">
        <v>386</v>
      </c>
      <c r="B68" s="497"/>
      <c r="C68" s="497"/>
      <c r="D68" s="497"/>
      <c r="E68" s="497"/>
      <c r="F68" s="497"/>
      <c r="G68" s="497"/>
      <c r="H68" s="497"/>
      <c r="I68" s="497"/>
      <c r="J68" s="497"/>
    </row>
    <row r="69" spans="1:10" ht="21.75">
      <c r="A69" s="491" t="s">
        <v>3</v>
      </c>
      <c r="B69" s="492"/>
      <c r="C69" s="492"/>
      <c r="D69" s="492"/>
      <c r="E69" s="492"/>
      <c r="F69" s="462" t="s">
        <v>218</v>
      </c>
      <c r="G69" s="464"/>
      <c r="H69" s="462" t="s">
        <v>219</v>
      </c>
      <c r="I69" s="464"/>
      <c r="J69" s="494" t="s">
        <v>102</v>
      </c>
    </row>
    <row r="70" spans="1:10" ht="21.75">
      <c r="A70" s="493"/>
      <c r="B70" s="486"/>
      <c r="C70" s="486"/>
      <c r="D70" s="486"/>
      <c r="E70" s="486"/>
      <c r="F70" s="357" t="s">
        <v>6</v>
      </c>
      <c r="G70" s="356" t="s">
        <v>83</v>
      </c>
      <c r="H70" s="357" t="s">
        <v>6</v>
      </c>
      <c r="I70" s="357" t="s">
        <v>83</v>
      </c>
      <c r="J70" s="495"/>
    </row>
    <row r="71" spans="1:10" ht="21.75">
      <c r="A71" s="484" t="s">
        <v>297</v>
      </c>
      <c r="B71" s="484"/>
      <c r="C71" s="484"/>
      <c r="D71" s="484"/>
      <c r="E71" s="489"/>
      <c r="F71" s="24"/>
      <c r="G71" s="25"/>
      <c r="H71" s="25"/>
      <c r="I71" s="25"/>
      <c r="J71" s="26"/>
    </row>
    <row r="72" spans="1:10" ht="21.75">
      <c r="A72" s="360" t="s">
        <v>384</v>
      </c>
      <c r="B72" s="362"/>
      <c r="C72" s="362"/>
      <c r="D72" s="362"/>
      <c r="E72" s="362"/>
      <c r="F72" s="411"/>
      <c r="G72" s="362"/>
      <c r="H72" s="411"/>
      <c r="I72" s="411"/>
      <c r="J72" s="361">
        <f>G72-I72</f>
        <v>0</v>
      </c>
    </row>
    <row r="73" spans="1:10" ht="21.75">
      <c r="A73" s="360"/>
      <c r="B73" s="362"/>
      <c r="C73" s="362"/>
      <c r="D73" s="362"/>
      <c r="E73" s="362"/>
      <c r="F73" s="411"/>
      <c r="G73" s="362"/>
      <c r="H73" s="411"/>
      <c r="I73" s="411"/>
      <c r="J73" s="361">
        <f>G73-I73</f>
        <v>0</v>
      </c>
    </row>
    <row r="74" spans="1:10" ht="21.75">
      <c r="A74" s="360"/>
      <c r="B74" s="362"/>
      <c r="C74" s="362"/>
      <c r="D74" s="362"/>
      <c r="E74" s="362"/>
      <c r="F74" s="411"/>
      <c r="G74" s="362"/>
      <c r="H74" s="411"/>
      <c r="I74" s="411"/>
      <c r="J74" s="361">
        <f>G74-I74</f>
        <v>0</v>
      </c>
    </row>
    <row r="75" spans="1:10" ht="21.75">
      <c r="A75" s="490" t="s">
        <v>298</v>
      </c>
      <c r="B75" s="484"/>
      <c r="C75" s="484"/>
      <c r="D75" s="484"/>
      <c r="E75" s="484"/>
      <c r="F75" s="360"/>
      <c r="G75" s="362"/>
      <c r="H75" s="362"/>
      <c r="I75" s="362"/>
      <c r="J75" s="361"/>
    </row>
    <row r="76" spans="1:10" ht="21.75">
      <c r="A76" s="360" t="s">
        <v>341</v>
      </c>
      <c r="B76" s="362"/>
      <c r="C76" s="362"/>
      <c r="D76" s="362"/>
      <c r="E76" s="362"/>
      <c r="F76" s="430"/>
      <c r="G76" s="422">
        <v>1422000</v>
      </c>
      <c r="H76" s="421">
        <v>235000</v>
      </c>
      <c r="I76" s="421">
        <v>942500</v>
      </c>
      <c r="J76" s="431">
        <f>G76-I76</f>
        <v>479500</v>
      </c>
    </row>
    <row r="77" spans="1:14" ht="21.75">
      <c r="A77" s="360" t="s">
        <v>340</v>
      </c>
      <c r="B77" s="362"/>
      <c r="C77" s="362"/>
      <c r="D77" s="362"/>
      <c r="E77" s="362"/>
      <c r="F77" s="432"/>
      <c r="G77" s="433">
        <v>1610000</v>
      </c>
      <c r="H77" s="434"/>
      <c r="I77" s="434">
        <v>1610000</v>
      </c>
      <c r="J77" s="435">
        <v>0</v>
      </c>
      <c r="M77" s="12">
        <v>93480</v>
      </c>
      <c r="N77">
        <v>707500</v>
      </c>
    </row>
    <row r="78" spans="1:14" ht="21.75">
      <c r="A78" s="360" t="s">
        <v>371</v>
      </c>
      <c r="B78" s="362"/>
      <c r="C78" s="362"/>
      <c r="D78" s="362"/>
      <c r="E78" s="362"/>
      <c r="F78" s="434">
        <v>0</v>
      </c>
      <c r="G78" s="433">
        <v>152028</v>
      </c>
      <c r="H78" s="434">
        <v>43804</v>
      </c>
      <c r="I78" s="434">
        <v>137284</v>
      </c>
      <c r="J78" s="436">
        <f>G78-I78</f>
        <v>14744</v>
      </c>
      <c r="M78" s="12">
        <v>43804</v>
      </c>
      <c r="N78">
        <v>235000</v>
      </c>
    </row>
    <row r="79" spans="1:14" ht="21.75">
      <c r="A79" s="360"/>
      <c r="B79" s="362"/>
      <c r="C79" s="362"/>
      <c r="D79" s="362"/>
      <c r="E79" s="362"/>
      <c r="F79" s="432"/>
      <c r="G79" s="433"/>
      <c r="H79" s="434"/>
      <c r="I79" s="434"/>
      <c r="J79" s="437"/>
      <c r="M79" s="12">
        <f>SUM(M77:M78)</f>
        <v>137284</v>
      </c>
      <c r="N79">
        <f>SUM(N77:N78)</f>
        <v>942500</v>
      </c>
    </row>
    <row r="80" spans="1:13" ht="21.75">
      <c r="A80" s="24"/>
      <c r="B80" s="25"/>
      <c r="C80" s="25"/>
      <c r="D80" s="25"/>
      <c r="E80" s="25"/>
      <c r="F80" s="30"/>
      <c r="G80" s="25"/>
      <c r="H80" s="30"/>
      <c r="I80" s="30"/>
      <c r="J80" s="30">
        <f>G80-I80</f>
        <v>0</v>
      </c>
      <c r="L80">
        <v>3</v>
      </c>
      <c r="M80" s="12"/>
    </row>
    <row r="81" spans="6:13" ht="22.5" thickBot="1">
      <c r="F81" s="445">
        <f>F72+F76+F77+F78+F79+F80</f>
        <v>0</v>
      </c>
      <c r="G81" s="446">
        <f>G72+G76+G77+G78+G79+G80</f>
        <v>3184028</v>
      </c>
      <c r="H81" s="445">
        <f>H72+H76+H77+H78+H79+H80</f>
        <v>278804</v>
      </c>
      <c r="I81" s="446">
        <f>I72+I76+I77+I78+I79+I80</f>
        <v>2689784</v>
      </c>
      <c r="J81" s="447">
        <f>J72+J73+J74+J76+J77+J78+J79+J80</f>
        <v>494244</v>
      </c>
      <c r="M81" s="12">
        <f>I81</f>
        <v>2689784</v>
      </c>
    </row>
    <row r="82" ht="22.5" thickTop="1">
      <c r="M82" s="444">
        <f>J81</f>
        <v>494244</v>
      </c>
    </row>
    <row r="83" ht="21.75">
      <c r="M83" s="444">
        <f>SUM(M81:M82)</f>
        <v>3184028</v>
      </c>
    </row>
    <row r="85" ht="21.75">
      <c r="L85" s="12"/>
    </row>
    <row r="86" ht="21.75">
      <c r="L86" s="12"/>
    </row>
    <row r="87" ht="21.75">
      <c r="L87" s="12">
        <v>738379.17</v>
      </c>
    </row>
    <row r="88" ht="21.75">
      <c r="L88" s="12">
        <v>428476.91</v>
      </c>
    </row>
    <row r="89" ht="21.75">
      <c r="L89" s="12">
        <v>10394.15</v>
      </c>
    </row>
    <row r="90" ht="21.75">
      <c r="L90" s="12">
        <v>94.87</v>
      </c>
    </row>
    <row r="91" ht="21.75">
      <c r="L91" s="12">
        <v>480.68</v>
      </c>
    </row>
    <row r="92" ht="21.75">
      <c r="L92" s="12">
        <v>810102.05</v>
      </c>
    </row>
    <row r="93" ht="21.75">
      <c r="L93" s="12">
        <v>2606.36</v>
      </c>
    </row>
    <row r="94" ht="21.75">
      <c r="L94" s="12">
        <v>120.86</v>
      </c>
    </row>
    <row r="95" ht="21.75">
      <c r="L95" s="12">
        <v>15173.82</v>
      </c>
    </row>
    <row r="96" ht="21.75">
      <c r="L96" s="12">
        <v>30439.54</v>
      </c>
    </row>
    <row r="97" ht="21.75">
      <c r="L97" s="12">
        <v>15073.43</v>
      </c>
    </row>
    <row r="98" ht="21.75">
      <c r="L98" s="12">
        <v>147.12</v>
      </c>
    </row>
    <row r="99" ht="21.75">
      <c r="L99" s="12">
        <v>399.25</v>
      </c>
    </row>
    <row r="100" spans="1:12" ht="29.25">
      <c r="A100" s="496" t="s">
        <v>296</v>
      </c>
      <c r="B100" s="496"/>
      <c r="C100" s="496"/>
      <c r="D100" s="496"/>
      <c r="E100" s="496"/>
      <c r="F100" s="496"/>
      <c r="G100" s="496"/>
      <c r="H100" s="496"/>
      <c r="I100" s="496"/>
      <c r="J100" s="496"/>
      <c r="L100" s="12">
        <v>88.47</v>
      </c>
    </row>
    <row r="101" spans="1:12" ht="23.25">
      <c r="A101" s="497" t="s">
        <v>353</v>
      </c>
      <c r="B101" s="497"/>
      <c r="C101" s="497"/>
      <c r="D101" s="497"/>
      <c r="E101" s="497"/>
      <c r="F101" s="497"/>
      <c r="G101" s="497"/>
      <c r="H101" s="497"/>
      <c r="I101" s="497"/>
      <c r="J101" s="497"/>
      <c r="L101" s="12">
        <v>52.95</v>
      </c>
    </row>
    <row r="102" spans="1:12" ht="21.75">
      <c r="A102" s="491" t="s">
        <v>3</v>
      </c>
      <c r="B102" s="492"/>
      <c r="C102" s="492"/>
      <c r="D102" s="492"/>
      <c r="E102" s="492"/>
      <c r="F102" s="462" t="s">
        <v>218</v>
      </c>
      <c r="G102" s="464"/>
      <c r="H102" s="462" t="s">
        <v>219</v>
      </c>
      <c r="I102" s="464"/>
      <c r="J102" s="494" t="s">
        <v>102</v>
      </c>
      <c r="L102" s="12">
        <v>692.51</v>
      </c>
    </row>
    <row r="103" spans="1:12" ht="21.75">
      <c r="A103" s="493"/>
      <c r="B103" s="486"/>
      <c r="C103" s="486"/>
      <c r="D103" s="486"/>
      <c r="E103" s="486"/>
      <c r="F103" s="357" t="s">
        <v>6</v>
      </c>
      <c r="G103" s="356" t="s">
        <v>83</v>
      </c>
      <c r="H103" s="357" t="s">
        <v>6</v>
      </c>
      <c r="I103" s="357" t="s">
        <v>83</v>
      </c>
      <c r="J103" s="495"/>
      <c r="L103" s="12">
        <v>4163.86</v>
      </c>
    </row>
    <row r="104" spans="1:12" ht="21.75">
      <c r="A104" s="484" t="s">
        <v>297</v>
      </c>
      <c r="B104" s="484"/>
      <c r="C104" s="484"/>
      <c r="D104" s="484"/>
      <c r="E104" s="489"/>
      <c r="F104" s="24"/>
      <c r="G104" s="25"/>
      <c r="H104" s="25"/>
      <c r="I104" s="25"/>
      <c r="J104" s="26"/>
      <c r="L104" s="12">
        <v>10296.74</v>
      </c>
    </row>
    <row r="105" spans="1:12" ht="21.75">
      <c r="A105" s="360" t="s">
        <v>384</v>
      </c>
      <c r="B105" s="362"/>
      <c r="C105" s="362"/>
      <c r="D105" s="362"/>
      <c r="E105" s="362"/>
      <c r="F105" s="363">
        <v>10000</v>
      </c>
      <c r="G105" s="420">
        <v>10000</v>
      </c>
      <c r="H105" s="363"/>
      <c r="I105" s="363"/>
      <c r="J105" s="393">
        <f>G105-I105</f>
        <v>10000</v>
      </c>
      <c r="L105" s="12">
        <v>203.28</v>
      </c>
    </row>
    <row r="106" spans="1:12" ht="21.75">
      <c r="A106" s="360"/>
      <c r="B106" s="362"/>
      <c r="C106" s="362"/>
      <c r="D106" s="362"/>
      <c r="E106" s="362"/>
      <c r="F106" s="363"/>
      <c r="G106" s="420"/>
      <c r="H106" s="363"/>
      <c r="I106" s="363"/>
      <c r="J106" s="393">
        <f>G106-I106</f>
        <v>0</v>
      </c>
      <c r="L106" s="12">
        <v>16208.37</v>
      </c>
    </row>
    <row r="107" spans="1:12" ht="21.75">
      <c r="A107" s="360"/>
      <c r="B107" s="362"/>
      <c r="C107" s="362"/>
      <c r="D107" s="362"/>
      <c r="E107" s="362"/>
      <c r="F107" s="363"/>
      <c r="G107" s="420"/>
      <c r="H107" s="363"/>
      <c r="I107" s="363"/>
      <c r="J107" s="393">
        <f>G107-I107</f>
        <v>0</v>
      </c>
      <c r="L107" s="12">
        <v>34342.61</v>
      </c>
    </row>
    <row r="108" spans="1:12" ht="21.75">
      <c r="A108" s="490" t="s">
        <v>298</v>
      </c>
      <c r="B108" s="484"/>
      <c r="C108" s="484"/>
      <c r="D108" s="484"/>
      <c r="E108" s="484"/>
      <c r="F108" s="451"/>
      <c r="G108" s="420"/>
      <c r="H108" s="420"/>
      <c r="I108" s="420"/>
      <c r="J108" s="393"/>
      <c r="L108" s="12">
        <f>SUM(L87:L107)</f>
        <v>2117937.0000000005</v>
      </c>
    </row>
    <row r="109" spans="1:12" ht="21.75">
      <c r="A109" s="360" t="s">
        <v>341</v>
      </c>
      <c r="B109" s="362"/>
      <c r="C109" s="362"/>
      <c r="D109" s="362"/>
      <c r="E109" s="362"/>
      <c r="F109" s="419"/>
      <c r="G109" s="31">
        <v>1422000</v>
      </c>
      <c r="H109" s="419">
        <v>235000</v>
      </c>
      <c r="I109" s="419">
        <v>942500</v>
      </c>
      <c r="J109" s="32">
        <f>G109-I109</f>
        <v>479500</v>
      </c>
      <c r="L109" s="12"/>
    </row>
    <row r="110" spans="1:12" ht="21.75">
      <c r="A110" s="360" t="s">
        <v>340</v>
      </c>
      <c r="B110" s="362"/>
      <c r="C110" s="362"/>
      <c r="D110" s="362"/>
      <c r="E110" s="362"/>
      <c r="F110" s="363"/>
      <c r="G110" s="420">
        <v>1610000</v>
      </c>
      <c r="H110" s="363"/>
      <c r="I110" s="363">
        <v>1610000</v>
      </c>
      <c r="J110" s="393">
        <f>G110-I110</f>
        <v>0</v>
      </c>
      <c r="L110" s="12"/>
    </row>
    <row r="111" spans="1:12" ht="21.75">
      <c r="A111" s="360" t="s">
        <v>371</v>
      </c>
      <c r="B111" s="362"/>
      <c r="C111" s="362"/>
      <c r="D111" s="362"/>
      <c r="E111" s="362"/>
      <c r="F111" s="363"/>
      <c r="G111" s="420">
        <v>152028</v>
      </c>
      <c r="H111" s="363">
        <v>43804</v>
      </c>
      <c r="I111" s="363">
        <v>137284</v>
      </c>
      <c r="J111" s="393">
        <f>G111-I111</f>
        <v>14744</v>
      </c>
      <c r="L111" s="12"/>
    </row>
    <row r="112" spans="1:12" ht="21.75">
      <c r="A112" s="360"/>
      <c r="B112" s="362"/>
      <c r="C112" s="362"/>
      <c r="D112" s="362"/>
      <c r="E112" s="362"/>
      <c r="F112" s="363"/>
      <c r="G112" s="420"/>
      <c r="H112" s="363"/>
      <c r="I112" s="363"/>
      <c r="J112" s="393">
        <f>G112-I112</f>
        <v>0</v>
      </c>
      <c r="L112" s="12"/>
    </row>
    <row r="113" spans="1:12" ht="21.75">
      <c r="A113" s="24"/>
      <c r="B113" s="25"/>
      <c r="C113" s="25"/>
      <c r="D113" s="25"/>
      <c r="E113" s="25"/>
      <c r="F113" s="419"/>
      <c r="G113" s="31"/>
      <c r="H113" s="419"/>
      <c r="I113" s="419"/>
      <c r="J113" s="419">
        <f>G113-I113</f>
        <v>0</v>
      </c>
      <c r="L113" s="12">
        <v>4</v>
      </c>
    </row>
    <row r="114" spans="6:12" ht="22.5" thickBot="1">
      <c r="F114" s="412">
        <f>+F105+F109+F110+F111+F112+F113</f>
        <v>10000</v>
      </c>
      <c r="G114" s="276">
        <f>G105+G109+G110+G111+G112+G113</f>
        <v>3194028</v>
      </c>
      <c r="H114" s="412">
        <f>H105+H109+H110+H111+H112+H113</f>
        <v>278804</v>
      </c>
      <c r="I114" s="276">
        <f>I105+I109+I110+I111+I112+I113</f>
        <v>2689784</v>
      </c>
      <c r="J114" s="413">
        <f>J105+J106+J107+J109+J110+J111+J112+J113</f>
        <v>504244</v>
      </c>
      <c r="L114" s="12"/>
    </row>
    <row r="115" ht="22.5" thickTop="1">
      <c r="L115" s="12"/>
    </row>
    <row r="116" ht="21.75">
      <c r="L116" s="12"/>
    </row>
    <row r="117" ht="21.75">
      <c r="L117" s="12"/>
    </row>
    <row r="118" ht="21.75">
      <c r="L118" s="12"/>
    </row>
    <row r="119" ht="21.75">
      <c r="L119" s="12"/>
    </row>
    <row r="120" ht="21.75">
      <c r="L120" s="12"/>
    </row>
    <row r="121" ht="21.75">
      <c r="L121" s="12"/>
    </row>
    <row r="122" ht="21.75">
      <c r="L122" s="12"/>
    </row>
    <row r="123" ht="21.75">
      <c r="L123" s="12"/>
    </row>
    <row r="124" ht="21.75">
      <c r="L124" s="12"/>
    </row>
    <row r="125" ht="21.75">
      <c r="L125" s="12"/>
    </row>
    <row r="126" ht="21.75">
      <c r="L126" s="12"/>
    </row>
    <row r="127" ht="21.75">
      <c r="L127" s="12"/>
    </row>
    <row r="128" ht="21.75">
      <c r="L128" s="12"/>
    </row>
    <row r="129" ht="21.75">
      <c r="L129" s="12"/>
    </row>
    <row r="130" ht="21.75">
      <c r="L130" s="12"/>
    </row>
    <row r="131" ht="21.75">
      <c r="L131" s="12"/>
    </row>
    <row r="132" ht="21.75">
      <c r="L132" s="12"/>
    </row>
    <row r="133" spans="1:12" ht="29.25">
      <c r="A133" s="496" t="s">
        <v>296</v>
      </c>
      <c r="B133" s="496"/>
      <c r="C133" s="496"/>
      <c r="D133" s="496"/>
      <c r="E133" s="496"/>
      <c r="F133" s="496"/>
      <c r="G133" s="496"/>
      <c r="H133" s="496"/>
      <c r="I133" s="496"/>
      <c r="J133" s="496"/>
      <c r="L133" s="12"/>
    </row>
    <row r="134" spans="1:12" ht="23.25">
      <c r="A134" s="497" t="s">
        <v>405</v>
      </c>
      <c r="B134" s="497"/>
      <c r="C134" s="497"/>
      <c r="D134" s="497"/>
      <c r="E134" s="497"/>
      <c r="F134" s="497"/>
      <c r="G134" s="497"/>
      <c r="H134" s="497"/>
      <c r="I134" s="497"/>
      <c r="J134" s="497"/>
      <c r="L134" s="12"/>
    </row>
    <row r="135" spans="1:12" ht="21.75">
      <c r="A135" s="491" t="s">
        <v>3</v>
      </c>
      <c r="B135" s="492"/>
      <c r="C135" s="492"/>
      <c r="D135" s="492"/>
      <c r="E135" s="492"/>
      <c r="F135" s="462" t="s">
        <v>218</v>
      </c>
      <c r="G135" s="464"/>
      <c r="H135" s="462" t="s">
        <v>219</v>
      </c>
      <c r="I135" s="464"/>
      <c r="J135" s="494" t="s">
        <v>102</v>
      </c>
      <c r="L135" s="12"/>
    </row>
    <row r="136" spans="1:12" ht="21.75">
      <c r="A136" s="493"/>
      <c r="B136" s="486"/>
      <c r="C136" s="486"/>
      <c r="D136" s="486"/>
      <c r="E136" s="486"/>
      <c r="F136" s="357" t="s">
        <v>6</v>
      </c>
      <c r="G136" s="356" t="s">
        <v>83</v>
      </c>
      <c r="H136" s="357" t="s">
        <v>6</v>
      </c>
      <c r="I136" s="357" t="s">
        <v>83</v>
      </c>
      <c r="J136" s="495"/>
      <c r="L136" s="12"/>
    </row>
    <row r="137" spans="1:12" ht="21.75">
      <c r="A137" s="484" t="s">
        <v>297</v>
      </c>
      <c r="B137" s="484"/>
      <c r="C137" s="484"/>
      <c r="D137" s="484"/>
      <c r="E137" s="489"/>
      <c r="F137" s="24"/>
      <c r="G137" s="25"/>
      <c r="H137" s="25"/>
      <c r="I137" s="25"/>
      <c r="J137" s="26"/>
      <c r="L137" s="12"/>
    </row>
    <row r="138" spans="1:12" ht="21.75">
      <c r="A138" s="360" t="s">
        <v>384</v>
      </c>
      <c r="B138" s="362"/>
      <c r="C138" s="362"/>
      <c r="D138" s="362"/>
      <c r="E138" s="362"/>
      <c r="F138" s="363"/>
      <c r="G138" s="420">
        <v>10000</v>
      </c>
      <c r="H138" s="363">
        <v>0</v>
      </c>
      <c r="I138" s="363">
        <v>0</v>
      </c>
      <c r="J138" s="361">
        <f>G138-I138</f>
        <v>10000</v>
      </c>
      <c r="L138" s="12"/>
    </row>
    <row r="139" spans="1:12" ht="21.75">
      <c r="A139" s="360"/>
      <c r="B139" s="362"/>
      <c r="C139" s="362"/>
      <c r="D139" s="362"/>
      <c r="E139" s="362"/>
      <c r="F139" s="411"/>
      <c r="G139" s="362"/>
      <c r="H139" s="411"/>
      <c r="I139" s="411"/>
      <c r="J139" s="361">
        <f>G139-I139</f>
        <v>0</v>
      </c>
      <c r="L139" s="12"/>
    </row>
    <row r="140" spans="1:12" ht="21.75">
      <c r="A140" s="360"/>
      <c r="B140" s="362"/>
      <c r="C140" s="362"/>
      <c r="D140" s="362"/>
      <c r="E140" s="362"/>
      <c r="F140" s="411"/>
      <c r="G140" s="362"/>
      <c r="H140" s="411"/>
      <c r="I140" s="411"/>
      <c r="J140" s="361">
        <f>G140-I140</f>
        <v>0</v>
      </c>
      <c r="L140" s="12"/>
    </row>
    <row r="141" spans="1:12" ht="21.75">
      <c r="A141" s="490" t="s">
        <v>298</v>
      </c>
      <c r="B141" s="484"/>
      <c r="C141" s="484"/>
      <c r="D141" s="484"/>
      <c r="E141" s="484"/>
      <c r="F141" s="360"/>
      <c r="G141" s="362"/>
      <c r="H141" s="362"/>
      <c r="I141" s="362"/>
      <c r="J141" s="361"/>
      <c r="L141" s="12"/>
    </row>
    <row r="142" spans="1:12" ht="21.75">
      <c r="A142" s="360" t="s">
        <v>341</v>
      </c>
      <c r="B142" s="362"/>
      <c r="C142" s="362"/>
      <c r="D142" s="362"/>
      <c r="E142" s="362"/>
      <c r="F142" s="419"/>
      <c r="G142" s="31">
        <f>1422000+703500</f>
        <v>2125500</v>
      </c>
      <c r="H142" s="419">
        <f>228000+6500</f>
        <v>234500</v>
      </c>
      <c r="I142" s="419">
        <v>1646500</v>
      </c>
      <c r="J142" s="32">
        <f>G142-I142</f>
        <v>479000</v>
      </c>
      <c r="L142" s="12"/>
    </row>
    <row r="143" spans="1:12" ht="21.75">
      <c r="A143" s="360" t="s">
        <v>340</v>
      </c>
      <c r="B143" s="362"/>
      <c r="C143" s="362"/>
      <c r="D143" s="362"/>
      <c r="E143" s="362"/>
      <c r="F143" s="363">
        <v>0</v>
      </c>
      <c r="G143" s="420">
        <v>1610000</v>
      </c>
      <c r="H143" s="363">
        <v>0</v>
      </c>
      <c r="I143" s="363">
        <v>1610000</v>
      </c>
      <c r="J143" s="393">
        <f>G143-I143</f>
        <v>0</v>
      </c>
      <c r="L143" s="12"/>
    </row>
    <row r="144" spans="1:12" ht="21.75">
      <c r="A144" s="360" t="s">
        <v>371</v>
      </c>
      <c r="B144" s="362"/>
      <c r="C144" s="362"/>
      <c r="D144" s="362"/>
      <c r="E144" s="362"/>
      <c r="F144" s="363">
        <v>51660</v>
      </c>
      <c r="G144" s="456">
        <v>358668</v>
      </c>
      <c r="H144" s="363">
        <v>92250</v>
      </c>
      <c r="I144" s="363">
        <v>314814</v>
      </c>
      <c r="J144" s="393">
        <f>G144-I144</f>
        <v>43854</v>
      </c>
      <c r="L144" s="12"/>
    </row>
    <row r="145" spans="1:12" ht="21.75">
      <c r="A145" s="360" t="s">
        <v>404</v>
      </c>
      <c r="B145" s="362"/>
      <c r="C145" s="362"/>
      <c r="D145" s="362"/>
      <c r="E145" s="362"/>
      <c r="F145" s="363">
        <v>250000</v>
      </c>
      <c r="G145" s="420">
        <v>250000</v>
      </c>
      <c r="H145" s="363">
        <v>0</v>
      </c>
      <c r="I145" s="363">
        <v>0</v>
      </c>
      <c r="J145" s="393">
        <f>G145-I145</f>
        <v>250000</v>
      </c>
      <c r="L145" s="12">
        <v>5</v>
      </c>
    </row>
    <row r="146" spans="1:12" ht="21.75">
      <c r="A146" s="24"/>
      <c r="B146" s="25"/>
      <c r="C146" s="25"/>
      <c r="D146" s="25"/>
      <c r="E146" s="25"/>
      <c r="F146" s="419"/>
      <c r="G146" s="31"/>
      <c r="H146" s="419"/>
      <c r="I146" s="419"/>
      <c r="J146" s="419">
        <f>G146-I146</f>
        <v>0</v>
      </c>
      <c r="L146" s="12"/>
    </row>
    <row r="147" spans="6:12" ht="22.5" thickBot="1">
      <c r="F147" s="445">
        <f>+F138+F142+F143+F144+F145+F146</f>
        <v>301660</v>
      </c>
      <c r="G147" s="446">
        <f>G138+G142+G143+G144+G145+G146</f>
        <v>4354168</v>
      </c>
      <c r="H147" s="445">
        <f>H138+H142+H143+H144+H145+H146</f>
        <v>326750</v>
      </c>
      <c r="I147" s="446">
        <f>I138+I142+I143+I144+I145+I146</f>
        <v>3571314</v>
      </c>
      <c r="J147" s="447">
        <f>J138+J139+J140+J142+J143+J144+J145+J146</f>
        <v>782854</v>
      </c>
      <c r="L147" s="12"/>
    </row>
    <row r="148" ht="22.5" thickTop="1">
      <c r="L148" s="12"/>
    </row>
    <row r="149" ht="21.75">
      <c r="L149" s="12"/>
    </row>
    <row r="150" ht="21.75">
      <c r="L150" s="12"/>
    </row>
    <row r="151" ht="21.75">
      <c r="L151" s="12"/>
    </row>
    <row r="152" ht="21.75">
      <c r="L152" s="12"/>
    </row>
    <row r="153" ht="21.75">
      <c r="L153" s="12"/>
    </row>
    <row r="154" ht="21.75">
      <c r="L154" s="12"/>
    </row>
    <row r="155" ht="21.75">
      <c r="L155" s="12"/>
    </row>
    <row r="156" ht="21.75">
      <c r="L156" s="12"/>
    </row>
    <row r="157" ht="21.75">
      <c r="L157" s="12"/>
    </row>
    <row r="158" ht="21.75">
      <c r="L158" s="12"/>
    </row>
    <row r="159" ht="21.75">
      <c r="L159" s="12"/>
    </row>
    <row r="160" ht="21.75">
      <c r="L160" s="12"/>
    </row>
    <row r="161" ht="21.75">
      <c r="L161" s="12"/>
    </row>
    <row r="162" ht="21.75">
      <c r="L162" s="12"/>
    </row>
    <row r="167" spans="1:10" ht="29.25">
      <c r="A167" s="496" t="s">
        <v>296</v>
      </c>
      <c r="B167" s="496"/>
      <c r="C167" s="496"/>
      <c r="D167" s="496"/>
      <c r="E167" s="496"/>
      <c r="F167" s="496"/>
      <c r="G167" s="496"/>
      <c r="H167" s="496"/>
      <c r="I167" s="496"/>
      <c r="J167" s="496"/>
    </row>
    <row r="168" spans="1:10" ht="23.25">
      <c r="A168" s="497" t="s">
        <v>354</v>
      </c>
      <c r="B168" s="497"/>
      <c r="C168" s="497"/>
      <c r="D168" s="497"/>
      <c r="E168" s="497"/>
      <c r="F168" s="497"/>
      <c r="G168" s="497"/>
      <c r="H168" s="497"/>
      <c r="I168" s="497"/>
      <c r="J168" s="497"/>
    </row>
    <row r="169" spans="1:10" ht="21.75">
      <c r="A169" s="491" t="s">
        <v>3</v>
      </c>
      <c r="B169" s="492"/>
      <c r="C169" s="492"/>
      <c r="D169" s="492"/>
      <c r="E169" s="492"/>
      <c r="F169" s="462" t="s">
        <v>218</v>
      </c>
      <c r="G169" s="464"/>
      <c r="H169" s="462" t="s">
        <v>219</v>
      </c>
      <c r="I169" s="464"/>
      <c r="J169" s="494" t="s">
        <v>102</v>
      </c>
    </row>
    <row r="170" spans="1:10" ht="21.75">
      <c r="A170" s="493"/>
      <c r="B170" s="486"/>
      <c r="C170" s="486"/>
      <c r="D170" s="486"/>
      <c r="E170" s="486"/>
      <c r="F170" s="357" t="s">
        <v>6</v>
      </c>
      <c r="G170" s="356" t="s">
        <v>83</v>
      </c>
      <c r="H170" s="357" t="s">
        <v>6</v>
      </c>
      <c r="I170" s="357" t="s">
        <v>83</v>
      </c>
      <c r="J170" s="495"/>
    </row>
    <row r="171" spans="1:10" ht="21.75">
      <c r="A171" s="484" t="s">
        <v>297</v>
      </c>
      <c r="B171" s="484"/>
      <c r="C171" s="484"/>
      <c r="D171" s="484"/>
      <c r="E171" s="489"/>
      <c r="F171" s="24"/>
      <c r="G171" s="25"/>
      <c r="H171" s="25"/>
      <c r="I171" s="25"/>
      <c r="J171" s="26"/>
    </row>
    <row r="172" spans="1:10" ht="21.75">
      <c r="A172" s="360" t="s">
        <v>384</v>
      </c>
      <c r="B172" s="362"/>
      <c r="C172" s="362"/>
      <c r="D172" s="362"/>
      <c r="E172" s="362"/>
      <c r="F172" s="363"/>
      <c r="G172" s="420">
        <v>10000</v>
      </c>
      <c r="H172" s="363"/>
      <c r="I172" s="363"/>
      <c r="J172" s="393">
        <f>G172-I172</f>
        <v>10000</v>
      </c>
    </row>
    <row r="173" spans="1:10" ht="21.75">
      <c r="A173" s="360"/>
      <c r="B173" s="362"/>
      <c r="C173" s="362"/>
      <c r="D173" s="362"/>
      <c r="E173" s="362"/>
      <c r="F173" s="363"/>
      <c r="G173" s="420"/>
      <c r="H173" s="363"/>
      <c r="I173" s="363"/>
      <c r="J173" s="393">
        <f>G173-I173</f>
        <v>0</v>
      </c>
    </row>
    <row r="174" spans="1:10" ht="21.75">
      <c r="A174" s="360"/>
      <c r="B174" s="362"/>
      <c r="C174" s="362"/>
      <c r="D174" s="362"/>
      <c r="E174" s="362"/>
      <c r="F174" s="363"/>
      <c r="G174" s="420"/>
      <c r="H174" s="363"/>
      <c r="I174" s="363"/>
      <c r="J174" s="393">
        <f>G174-I174</f>
        <v>0</v>
      </c>
    </row>
    <row r="175" spans="1:10" ht="21.75">
      <c r="A175" s="490" t="s">
        <v>298</v>
      </c>
      <c r="B175" s="484"/>
      <c r="C175" s="484"/>
      <c r="D175" s="484"/>
      <c r="E175" s="484"/>
      <c r="F175" s="451"/>
      <c r="G175" s="420"/>
      <c r="H175" s="420"/>
      <c r="I175" s="420"/>
      <c r="J175" s="393"/>
    </row>
    <row r="176" spans="1:10" ht="21.75">
      <c r="A176" s="360" t="s">
        <v>341</v>
      </c>
      <c r="B176" s="362"/>
      <c r="C176" s="362"/>
      <c r="D176" s="362"/>
      <c r="E176" s="362"/>
      <c r="F176" s="419"/>
      <c r="G176" s="31">
        <v>2125500</v>
      </c>
      <c r="H176" s="419">
        <v>6500</v>
      </c>
      <c r="I176" s="419">
        <f>6500+1646500</f>
        <v>1653000</v>
      </c>
      <c r="J176" s="32">
        <f>G176-I176</f>
        <v>472500</v>
      </c>
    </row>
    <row r="177" spans="1:10" ht="21.75">
      <c r="A177" s="360" t="s">
        <v>340</v>
      </c>
      <c r="B177" s="362"/>
      <c r="C177" s="362"/>
      <c r="D177" s="362"/>
      <c r="E177" s="362"/>
      <c r="F177" s="363"/>
      <c r="G177" s="420">
        <v>1610000</v>
      </c>
      <c r="H177" s="363"/>
      <c r="I177" s="363">
        <v>1610000</v>
      </c>
      <c r="J177" s="393">
        <f>G177-I177</f>
        <v>0</v>
      </c>
    </row>
    <row r="178" spans="1:10" ht="21.75">
      <c r="A178" s="360" t="s">
        <v>411</v>
      </c>
      <c r="B178" s="362"/>
      <c r="C178" s="362"/>
      <c r="D178" s="362"/>
      <c r="E178" s="362"/>
      <c r="F178" s="363">
        <v>51660</v>
      </c>
      <c r="G178" s="420">
        <f>51660+358668</f>
        <v>410328</v>
      </c>
      <c r="H178" s="363">
        <v>52123</v>
      </c>
      <c r="I178" s="363">
        <f>H178+314814</f>
        <v>366937</v>
      </c>
      <c r="J178" s="393">
        <f>G178-I178</f>
        <v>43391</v>
      </c>
    </row>
    <row r="179" spans="1:10" ht="21.75">
      <c r="A179" s="360" t="s">
        <v>404</v>
      </c>
      <c r="B179" s="362"/>
      <c r="C179" s="362"/>
      <c r="D179" s="362"/>
      <c r="E179" s="362"/>
      <c r="F179" s="363"/>
      <c r="G179" s="420">
        <v>250000</v>
      </c>
      <c r="H179" s="363">
        <v>50000</v>
      </c>
      <c r="I179" s="363">
        <v>50000</v>
      </c>
      <c r="J179" s="393">
        <f>G179-I179</f>
        <v>200000</v>
      </c>
    </row>
    <row r="180" spans="1:12" ht="21.75">
      <c r="A180" s="460" t="s">
        <v>412</v>
      </c>
      <c r="B180" s="25"/>
      <c r="C180" s="25"/>
      <c r="D180" s="25"/>
      <c r="E180" s="25"/>
      <c r="F180" s="419">
        <v>1291397</v>
      </c>
      <c r="G180" s="31">
        <v>1291397</v>
      </c>
      <c r="H180" s="419">
        <v>0</v>
      </c>
      <c r="I180" s="419">
        <v>0</v>
      </c>
      <c r="J180" s="419">
        <f>G180-I180</f>
        <v>1291397</v>
      </c>
      <c r="L180">
        <v>6</v>
      </c>
    </row>
    <row r="181" spans="6:10" ht="22.5" thickBot="1">
      <c r="F181" s="412">
        <f>F172+F176+F177+F178+F179+F180</f>
        <v>1343057</v>
      </c>
      <c r="G181" s="276">
        <f>G172+G176+G177+G178+G179+G180</f>
        <v>5697225</v>
      </c>
      <c r="H181" s="412">
        <f>H172+H176+H177+H178+H179+H180</f>
        <v>108623</v>
      </c>
      <c r="I181" s="276">
        <f>I172+I176+I177+I178+I179+I180</f>
        <v>3679937</v>
      </c>
      <c r="J181" s="413">
        <f>J172+J173+J174+J176+J177+J178+J179+J180</f>
        <v>2017288</v>
      </c>
    </row>
    <row r="182" ht="22.5" thickTop="1"/>
    <row r="199" spans="1:10" ht="29.25">
      <c r="A199" s="496" t="s">
        <v>296</v>
      </c>
      <c r="B199" s="496"/>
      <c r="C199" s="496"/>
      <c r="D199" s="496"/>
      <c r="E199" s="496"/>
      <c r="F199" s="496"/>
      <c r="G199" s="496"/>
      <c r="H199" s="496"/>
      <c r="I199" s="496"/>
      <c r="J199" s="496"/>
    </row>
    <row r="200" spans="1:10" ht="23.25">
      <c r="A200" s="497" t="s">
        <v>354</v>
      </c>
      <c r="B200" s="497"/>
      <c r="C200" s="497"/>
      <c r="D200" s="497"/>
      <c r="E200" s="497"/>
      <c r="F200" s="497"/>
      <c r="G200" s="497"/>
      <c r="H200" s="497"/>
      <c r="I200" s="497"/>
      <c r="J200" s="497"/>
    </row>
    <row r="201" spans="1:10" ht="21.75">
      <c r="A201" s="491" t="s">
        <v>3</v>
      </c>
      <c r="B201" s="492"/>
      <c r="C201" s="492"/>
      <c r="D201" s="492"/>
      <c r="E201" s="492"/>
      <c r="F201" s="462" t="s">
        <v>218</v>
      </c>
      <c r="G201" s="464"/>
      <c r="H201" s="462" t="s">
        <v>219</v>
      </c>
      <c r="I201" s="464"/>
      <c r="J201" s="494" t="s">
        <v>102</v>
      </c>
    </row>
    <row r="202" spans="1:10" ht="21.75">
      <c r="A202" s="493"/>
      <c r="B202" s="486"/>
      <c r="C202" s="486"/>
      <c r="D202" s="486"/>
      <c r="E202" s="486"/>
      <c r="F202" s="357" t="s">
        <v>6</v>
      </c>
      <c r="G202" s="356" t="s">
        <v>83</v>
      </c>
      <c r="H202" s="357" t="s">
        <v>6</v>
      </c>
      <c r="I202" s="357" t="s">
        <v>83</v>
      </c>
      <c r="J202" s="495"/>
    </row>
    <row r="203" spans="1:10" ht="21.75">
      <c r="A203" s="484" t="s">
        <v>297</v>
      </c>
      <c r="B203" s="484"/>
      <c r="C203" s="484"/>
      <c r="D203" s="484"/>
      <c r="E203" s="489"/>
      <c r="F203" s="24"/>
      <c r="G203" s="25"/>
      <c r="H203" s="25"/>
      <c r="I203" s="25"/>
      <c r="J203" s="26"/>
    </row>
    <row r="204" spans="1:10" ht="21.75">
      <c r="A204" s="24" t="s">
        <v>299</v>
      </c>
      <c r="B204" s="25"/>
      <c r="C204" s="25"/>
      <c r="D204" s="25"/>
      <c r="E204" s="25"/>
      <c r="F204" s="30"/>
      <c r="G204" s="25"/>
      <c r="H204" s="30"/>
      <c r="I204" s="30"/>
      <c r="J204" s="26">
        <f>G204-I204</f>
        <v>0</v>
      </c>
    </row>
    <row r="205" spans="1:10" ht="21.75">
      <c r="A205" s="360" t="s">
        <v>300</v>
      </c>
      <c r="B205" s="362"/>
      <c r="C205" s="362"/>
      <c r="D205" s="362"/>
      <c r="E205" s="362"/>
      <c r="F205" s="411"/>
      <c r="G205" s="362"/>
      <c r="H205" s="411"/>
      <c r="I205" s="411"/>
      <c r="J205" s="361">
        <f>G205-I205</f>
        <v>0</v>
      </c>
    </row>
    <row r="206" spans="1:10" ht="21.75">
      <c r="A206" s="360"/>
      <c r="B206" s="362"/>
      <c r="C206" s="362"/>
      <c r="D206" s="362"/>
      <c r="E206" s="362"/>
      <c r="F206" s="411"/>
      <c r="G206" s="362"/>
      <c r="H206" s="411"/>
      <c r="I206" s="411"/>
      <c r="J206" s="361">
        <f>G206-I206</f>
        <v>0</v>
      </c>
    </row>
    <row r="207" spans="1:10" ht="21.75">
      <c r="A207" s="360"/>
      <c r="B207" s="362"/>
      <c r="C207" s="362"/>
      <c r="D207" s="362"/>
      <c r="E207" s="362"/>
      <c r="F207" s="411"/>
      <c r="G207" s="362"/>
      <c r="H207" s="411"/>
      <c r="I207" s="411"/>
      <c r="J207" s="361">
        <f>G207-I207</f>
        <v>0</v>
      </c>
    </row>
    <row r="208" spans="1:10" ht="21.75">
      <c r="A208" s="490" t="s">
        <v>298</v>
      </c>
      <c r="B208" s="484"/>
      <c r="C208" s="484"/>
      <c r="D208" s="484"/>
      <c r="E208" s="484"/>
      <c r="F208" s="360"/>
      <c r="G208" s="362"/>
      <c r="H208" s="362"/>
      <c r="I208" s="362"/>
      <c r="J208" s="361"/>
    </row>
    <row r="209" spans="1:10" ht="21.75">
      <c r="A209" s="360" t="s">
        <v>341</v>
      </c>
      <c r="B209" s="362"/>
      <c r="C209" s="362"/>
      <c r="D209" s="362"/>
      <c r="E209" s="362"/>
      <c r="F209" s="30"/>
      <c r="G209" s="25"/>
      <c r="H209" s="30"/>
      <c r="I209" s="30"/>
      <c r="J209" s="26">
        <f>G209-I209</f>
        <v>0</v>
      </c>
    </row>
    <row r="210" spans="1:10" ht="21.75">
      <c r="A210" s="360" t="s">
        <v>340</v>
      </c>
      <c r="B210" s="362"/>
      <c r="C210" s="362"/>
      <c r="D210" s="362"/>
      <c r="E210" s="362"/>
      <c r="F210" s="411"/>
      <c r="G210" s="362"/>
      <c r="H210" s="411"/>
      <c r="I210" s="411"/>
      <c r="J210" s="361">
        <f>G210-I210</f>
        <v>0</v>
      </c>
    </row>
    <row r="211" spans="1:10" ht="21.75">
      <c r="A211" s="360"/>
      <c r="B211" s="362"/>
      <c r="C211" s="362"/>
      <c r="D211" s="362"/>
      <c r="E211" s="362"/>
      <c r="F211" s="411"/>
      <c r="G211" s="362"/>
      <c r="H211" s="411"/>
      <c r="I211" s="411"/>
      <c r="J211" s="361">
        <f>G211-I211</f>
        <v>0</v>
      </c>
    </row>
    <row r="212" spans="1:10" ht="21.75">
      <c r="A212" s="360"/>
      <c r="B212" s="362"/>
      <c r="C212" s="362"/>
      <c r="D212" s="362"/>
      <c r="E212" s="362"/>
      <c r="F212" s="411"/>
      <c r="G212" s="362"/>
      <c r="H212" s="411"/>
      <c r="I212" s="411"/>
      <c r="J212" s="361">
        <f>G212-I212</f>
        <v>0</v>
      </c>
    </row>
    <row r="213" spans="1:10" ht="21.75">
      <c r="A213" s="24"/>
      <c r="B213" s="25"/>
      <c r="C213" s="25"/>
      <c r="D213" s="25"/>
      <c r="E213" s="25"/>
      <c r="F213" s="30"/>
      <c r="G213" s="25"/>
      <c r="H213" s="30"/>
      <c r="I213" s="30"/>
      <c r="J213" s="30">
        <f>G213-I213</f>
        <v>0</v>
      </c>
    </row>
    <row r="214" spans="6:10" ht="22.5" thickBot="1">
      <c r="F214" s="414">
        <f>F204+F205+F209+F210+F211+F212+F213</f>
        <v>0</v>
      </c>
      <c r="G214" s="415">
        <f>G204+G205+G209+G210+G211+G212+G213</f>
        <v>0</v>
      </c>
      <c r="H214" s="414">
        <f>H204+H205+H209+H210+H211+H212+H213</f>
        <v>0</v>
      </c>
      <c r="I214" s="415">
        <f>I204+I205+I209+I210+I211+I212+I213</f>
        <v>0</v>
      </c>
      <c r="J214" s="416">
        <f>J204+J205+J206+J207+J209+J210+J211+J212+J213</f>
        <v>0</v>
      </c>
    </row>
    <row r="215" ht="22.5" thickTop="1"/>
    <row r="232" spans="1:10" ht="29.25">
      <c r="A232" s="496" t="s">
        <v>296</v>
      </c>
      <c r="B232" s="496"/>
      <c r="C232" s="496"/>
      <c r="D232" s="496"/>
      <c r="E232" s="496"/>
      <c r="F232" s="496"/>
      <c r="G232" s="496"/>
      <c r="H232" s="496"/>
      <c r="I232" s="496"/>
      <c r="J232" s="496"/>
    </row>
    <row r="233" spans="1:10" ht="23.25">
      <c r="A233" s="497" t="s">
        <v>355</v>
      </c>
      <c r="B233" s="497"/>
      <c r="C233" s="497"/>
      <c r="D233" s="497"/>
      <c r="E233" s="497"/>
      <c r="F233" s="497"/>
      <c r="G233" s="497"/>
      <c r="H233" s="497"/>
      <c r="I233" s="497"/>
      <c r="J233" s="497"/>
    </row>
    <row r="234" spans="1:10" ht="21.75">
      <c r="A234" s="491" t="s">
        <v>3</v>
      </c>
      <c r="B234" s="492"/>
      <c r="C234" s="492"/>
      <c r="D234" s="492"/>
      <c r="E234" s="492"/>
      <c r="F234" s="462" t="s">
        <v>218</v>
      </c>
      <c r="G234" s="464"/>
      <c r="H234" s="462" t="s">
        <v>219</v>
      </c>
      <c r="I234" s="464"/>
      <c r="J234" s="494" t="s">
        <v>102</v>
      </c>
    </row>
    <row r="235" spans="1:10" ht="21.75">
      <c r="A235" s="493"/>
      <c r="B235" s="486"/>
      <c r="C235" s="486"/>
      <c r="D235" s="486"/>
      <c r="E235" s="486"/>
      <c r="F235" s="357" t="s">
        <v>6</v>
      </c>
      <c r="G235" s="356" t="s">
        <v>83</v>
      </c>
      <c r="H235" s="357" t="s">
        <v>6</v>
      </c>
      <c r="I235" s="357" t="s">
        <v>83</v>
      </c>
      <c r="J235" s="495"/>
    </row>
    <row r="236" spans="1:10" ht="21.75">
      <c r="A236" s="484" t="s">
        <v>297</v>
      </c>
      <c r="B236" s="484"/>
      <c r="C236" s="484"/>
      <c r="D236" s="484"/>
      <c r="E236" s="489"/>
      <c r="F236" s="24"/>
      <c r="G236" s="25"/>
      <c r="H236" s="25"/>
      <c r="I236" s="25"/>
      <c r="J236" s="26"/>
    </row>
    <row r="237" spans="1:10" ht="21.75">
      <c r="A237" s="360" t="s">
        <v>384</v>
      </c>
      <c r="B237" s="362"/>
      <c r="C237" s="362"/>
      <c r="D237" s="362"/>
      <c r="E237" s="362"/>
      <c r="F237" s="363"/>
      <c r="G237" s="420">
        <v>10000</v>
      </c>
      <c r="H237" s="363"/>
      <c r="I237" s="363"/>
      <c r="J237" s="393">
        <f>G237-I237</f>
        <v>10000</v>
      </c>
    </row>
    <row r="238" spans="1:10" ht="21.75">
      <c r="A238" s="360"/>
      <c r="B238" s="362"/>
      <c r="C238" s="362"/>
      <c r="D238" s="362"/>
      <c r="E238" s="362"/>
      <c r="F238" s="363"/>
      <c r="G238" s="420"/>
      <c r="H238" s="363"/>
      <c r="I238" s="363"/>
      <c r="J238" s="393">
        <f>G238-I238</f>
        <v>0</v>
      </c>
    </row>
    <row r="239" spans="1:10" ht="21.75">
      <c r="A239" s="360"/>
      <c r="B239" s="362"/>
      <c r="C239" s="362"/>
      <c r="D239" s="362"/>
      <c r="E239" s="362"/>
      <c r="F239" s="363"/>
      <c r="G239" s="420"/>
      <c r="H239" s="363"/>
      <c r="I239" s="363"/>
      <c r="J239" s="393">
        <f>G239-I239</f>
        <v>0</v>
      </c>
    </row>
    <row r="240" spans="1:10" ht="21.75">
      <c r="A240" s="490" t="s">
        <v>298</v>
      </c>
      <c r="B240" s="484"/>
      <c r="C240" s="484"/>
      <c r="D240" s="484"/>
      <c r="E240" s="484"/>
      <c r="F240" s="451"/>
      <c r="G240" s="420"/>
      <c r="H240" s="420"/>
      <c r="I240" s="420"/>
      <c r="J240" s="393"/>
    </row>
    <row r="241" spans="1:10" ht="21.75">
      <c r="A241" s="360" t="s">
        <v>341</v>
      </c>
      <c r="B241" s="362"/>
      <c r="C241" s="362"/>
      <c r="D241" s="362"/>
      <c r="E241" s="362"/>
      <c r="F241" s="419"/>
      <c r="G241" s="31">
        <v>2125500</v>
      </c>
      <c r="H241" s="419">
        <v>461500</v>
      </c>
      <c r="I241" s="419">
        <f>1653000+H241</f>
        <v>2114500</v>
      </c>
      <c r="J241" s="32">
        <f>G241-I241</f>
        <v>11000</v>
      </c>
    </row>
    <row r="242" spans="1:10" ht="21.75">
      <c r="A242" s="360" t="s">
        <v>340</v>
      </c>
      <c r="B242" s="362"/>
      <c r="C242" s="362"/>
      <c r="D242" s="362"/>
      <c r="E242" s="362"/>
      <c r="F242" s="363"/>
      <c r="G242" s="420">
        <v>1610000</v>
      </c>
      <c r="H242" s="363"/>
      <c r="I242" s="363">
        <v>1610000</v>
      </c>
      <c r="J242" s="393">
        <f>G242-I242</f>
        <v>0</v>
      </c>
    </row>
    <row r="243" spans="1:10" ht="21.75">
      <c r="A243" s="360" t="s">
        <v>371</v>
      </c>
      <c r="B243" s="362"/>
      <c r="C243" s="362"/>
      <c r="D243" s="362"/>
      <c r="E243" s="362"/>
      <c r="F243" s="363">
        <v>51660</v>
      </c>
      <c r="G243" s="420">
        <f>410328+F243</f>
        <v>461988</v>
      </c>
      <c r="H243" s="363">
        <v>43381</v>
      </c>
      <c r="I243" s="363">
        <f>366937+H243</f>
        <v>410318</v>
      </c>
      <c r="J243" s="393">
        <f>G243-I243</f>
        <v>51670</v>
      </c>
    </row>
    <row r="244" spans="1:10" ht="21.75">
      <c r="A244" s="360" t="s">
        <v>404</v>
      </c>
      <c r="B244" s="362"/>
      <c r="C244" s="362"/>
      <c r="D244" s="362"/>
      <c r="E244" s="362"/>
      <c r="F244" s="363"/>
      <c r="G244" s="420">
        <v>250000</v>
      </c>
      <c r="H244" s="363">
        <v>99500</v>
      </c>
      <c r="I244" s="363">
        <f>H244+50000</f>
        <v>149500</v>
      </c>
      <c r="J244" s="393">
        <f>G244-I244</f>
        <v>100500</v>
      </c>
    </row>
    <row r="245" spans="1:10" ht="21.75">
      <c r="A245" s="461" t="s">
        <v>412</v>
      </c>
      <c r="B245" s="25"/>
      <c r="C245" s="25"/>
      <c r="D245" s="25"/>
      <c r="E245" s="25"/>
      <c r="F245" s="419"/>
      <c r="G245" s="31">
        <v>1291397</v>
      </c>
      <c r="H245" s="419">
        <v>1291397</v>
      </c>
      <c r="I245" s="419">
        <v>1291397</v>
      </c>
      <c r="J245" s="419">
        <f>G245-I245</f>
        <v>0</v>
      </c>
    </row>
    <row r="246" spans="6:10" ht="22.5" thickBot="1">
      <c r="F246" s="412">
        <f>F237+F241+F242+F243+F244+F245</f>
        <v>51660</v>
      </c>
      <c r="G246" s="276">
        <f>G237+G241+G242+G243+G244+G245</f>
        <v>5748885</v>
      </c>
      <c r="H246" s="412">
        <f>H237+H241+H242+H243+H244+H245</f>
        <v>1895778</v>
      </c>
      <c r="I246" s="276">
        <f>I237+I241+I242+I243+I244+I245</f>
        <v>5575715</v>
      </c>
      <c r="J246" s="413">
        <f>J237+J238+J239+J241+J242+J243+J244+J245</f>
        <v>173170</v>
      </c>
    </row>
    <row r="247" spans="6:10" ht="22.5" thickTop="1">
      <c r="F247" s="12"/>
      <c r="G247" s="12"/>
      <c r="H247" s="12"/>
      <c r="I247" s="12"/>
      <c r="J247" s="12"/>
    </row>
    <row r="265" spans="1:10" ht="29.25">
      <c r="A265" s="496" t="s">
        <v>296</v>
      </c>
      <c r="B265" s="496"/>
      <c r="C265" s="496"/>
      <c r="D265" s="496"/>
      <c r="E265" s="496"/>
      <c r="F265" s="496"/>
      <c r="G265" s="496"/>
      <c r="H265" s="496"/>
      <c r="I265" s="496"/>
      <c r="J265" s="496"/>
    </row>
    <row r="266" spans="1:10" ht="23.25">
      <c r="A266" s="497" t="s">
        <v>356</v>
      </c>
      <c r="B266" s="497"/>
      <c r="C266" s="497"/>
      <c r="D266" s="497"/>
      <c r="E266" s="497"/>
      <c r="F266" s="497"/>
      <c r="G266" s="497"/>
      <c r="H266" s="497"/>
      <c r="I266" s="497"/>
      <c r="J266" s="497"/>
    </row>
    <row r="267" spans="1:10" ht="21.75">
      <c r="A267" s="491" t="s">
        <v>3</v>
      </c>
      <c r="B267" s="492"/>
      <c r="C267" s="492"/>
      <c r="D267" s="492"/>
      <c r="E267" s="492"/>
      <c r="F267" s="462" t="s">
        <v>218</v>
      </c>
      <c r="G267" s="464"/>
      <c r="H267" s="462" t="s">
        <v>219</v>
      </c>
      <c r="I267" s="464"/>
      <c r="J267" s="494" t="s">
        <v>102</v>
      </c>
    </row>
    <row r="268" spans="1:10" ht="21.75">
      <c r="A268" s="493"/>
      <c r="B268" s="486"/>
      <c r="C268" s="486"/>
      <c r="D268" s="486"/>
      <c r="E268" s="486"/>
      <c r="F268" s="357" t="s">
        <v>6</v>
      </c>
      <c r="G268" s="356" t="s">
        <v>83</v>
      </c>
      <c r="H268" s="357" t="s">
        <v>6</v>
      </c>
      <c r="I268" s="357" t="s">
        <v>83</v>
      </c>
      <c r="J268" s="495"/>
    </row>
    <row r="269" spans="1:10" ht="21.75">
      <c r="A269" s="484" t="s">
        <v>297</v>
      </c>
      <c r="B269" s="484"/>
      <c r="C269" s="484"/>
      <c r="D269" s="484"/>
      <c r="E269" s="489"/>
      <c r="F269" s="24"/>
      <c r="G269" s="25"/>
      <c r="H269" s="25"/>
      <c r="I269" s="25"/>
      <c r="J269" s="26"/>
    </row>
    <row r="270" spans="1:10" ht="21.75">
      <c r="A270" s="24" t="s">
        <v>299</v>
      </c>
      <c r="B270" s="25"/>
      <c r="C270" s="25"/>
      <c r="D270" s="25"/>
      <c r="E270" s="25"/>
      <c r="F270" s="30"/>
      <c r="G270" s="25"/>
      <c r="H270" s="30"/>
      <c r="I270" s="30"/>
      <c r="J270" s="26">
        <f>G270-I270</f>
        <v>0</v>
      </c>
    </row>
    <row r="271" spans="1:10" ht="21.75">
      <c r="A271" s="360" t="s">
        <v>300</v>
      </c>
      <c r="B271" s="362"/>
      <c r="C271" s="362"/>
      <c r="D271" s="362"/>
      <c r="E271" s="362"/>
      <c r="F271" s="411"/>
      <c r="G271" s="362"/>
      <c r="H271" s="411"/>
      <c r="I271" s="411"/>
      <c r="J271" s="361">
        <f>G271-I271</f>
        <v>0</v>
      </c>
    </row>
    <row r="272" spans="1:10" ht="21.75">
      <c r="A272" s="360"/>
      <c r="B272" s="362"/>
      <c r="C272" s="362"/>
      <c r="D272" s="362"/>
      <c r="E272" s="362"/>
      <c r="F272" s="411"/>
      <c r="G272" s="362"/>
      <c r="H272" s="411"/>
      <c r="I272" s="411"/>
      <c r="J272" s="361">
        <f>G272-I272</f>
        <v>0</v>
      </c>
    </row>
    <row r="273" spans="1:10" ht="21.75">
      <c r="A273" s="360"/>
      <c r="B273" s="362"/>
      <c r="C273" s="362"/>
      <c r="D273" s="362"/>
      <c r="E273" s="362"/>
      <c r="F273" s="411"/>
      <c r="G273" s="362"/>
      <c r="H273" s="411"/>
      <c r="I273" s="411"/>
      <c r="J273" s="361">
        <f>G273-I273</f>
        <v>0</v>
      </c>
    </row>
    <row r="274" spans="1:10" ht="21.75">
      <c r="A274" s="490" t="s">
        <v>298</v>
      </c>
      <c r="B274" s="484"/>
      <c r="C274" s="484"/>
      <c r="D274" s="484"/>
      <c r="E274" s="484"/>
      <c r="F274" s="360"/>
      <c r="G274" s="362"/>
      <c r="H274" s="362"/>
      <c r="I274" s="362"/>
      <c r="J274" s="361"/>
    </row>
    <row r="275" spans="1:10" ht="21.75">
      <c r="A275" s="360" t="s">
        <v>341</v>
      </c>
      <c r="B275" s="362"/>
      <c r="C275" s="362"/>
      <c r="D275" s="362"/>
      <c r="E275" s="362"/>
      <c r="F275" s="30"/>
      <c r="G275" s="25"/>
      <c r="H275" s="30"/>
      <c r="I275" s="30"/>
      <c r="J275" s="26">
        <f>G275-I275</f>
        <v>0</v>
      </c>
    </row>
    <row r="276" spans="1:10" ht="21.75">
      <c r="A276" s="360" t="s">
        <v>340</v>
      </c>
      <c r="B276" s="362"/>
      <c r="C276" s="362"/>
      <c r="D276" s="362"/>
      <c r="E276" s="362"/>
      <c r="F276" s="411"/>
      <c r="G276" s="362"/>
      <c r="H276" s="411"/>
      <c r="I276" s="411"/>
      <c r="J276" s="361">
        <f>G276-I276</f>
        <v>0</v>
      </c>
    </row>
    <row r="277" spans="1:10" ht="21.75">
      <c r="A277" s="360"/>
      <c r="B277" s="362"/>
      <c r="C277" s="362"/>
      <c r="D277" s="362"/>
      <c r="E277" s="362"/>
      <c r="F277" s="411"/>
      <c r="G277" s="362"/>
      <c r="H277" s="411"/>
      <c r="I277" s="411"/>
      <c r="J277" s="361">
        <f>G277-I277</f>
        <v>0</v>
      </c>
    </row>
    <row r="278" spans="1:10" ht="21.75">
      <c r="A278" s="360"/>
      <c r="B278" s="362"/>
      <c r="C278" s="362"/>
      <c r="D278" s="362"/>
      <c r="E278" s="362"/>
      <c r="F278" s="411"/>
      <c r="G278" s="362"/>
      <c r="H278" s="411"/>
      <c r="I278" s="411"/>
      <c r="J278" s="361">
        <f>G278-I278</f>
        <v>0</v>
      </c>
    </row>
    <row r="279" spans="1:10" ht="21.75">
      <c r="A279" s="24"/>
      <c r="B279" s="25"/>
      <c r="C279" s="25"/>
      <c r="D279" s="25"/>
      <c r="E279" s="25"/>
      <c r="F279" s="30"/>
      <c r="G279" s="25"/>
      <c r="H279" s="30"/>
      <c r="I279" s="30"/>
      <c r="J279" s="30">
        <f>G279-I279</f>
        <v>0</v>
      </c>
    </row>
    <row r="280" spans="6:10" ht="22.5" thickBot="1">
      <c r="F280" s="414">
        <f>F270+F271+F275+F276+F277+F278+F279</f>
        <v>0</v>
      </c>
      <c r="G280" s="415">
        <f>G270+G271+G275+G276+G277+G278+G279</f>
        <v>0</v>
      </c>
      <c r="H280" s="414">
        <f>H270+H271+H275+H276+H277+H278+H279</f>
        <v>0</v>
      </c>
      <c r="I280" s="415">
        <f>I270+I271+I275+I276+I277+I278+I279</f>
        <v>0</v>
      </c>
      <c r="J280" s="416">
        <f>J270+J271+J272+J273+J275+J276+J277+J278+J279</f>
        <v>0</v>
      </c>
    </row>
    <row r="281" ht="22.5" thickTop="1"/>
    <row r="298" spans="1:10" ht="29.25">
      <c r="A298" s="496" t="s">
        <v>296</v>
      </c>
      <c r="B298" s="496"/>
      <c r="C298" s="496"/>
      <c r="D298" s="496"/>
      <c r="E298" s="496"/>
      <c r="F298" s="496"/>
      <c r="G298" s="496"/>
      <c r="H298" s="496"/>
      <c r="I298" s="496"/>
      <c r="J298" s="496"/>
    </row>
    <row r="299" spans="1:10" ht="23.25">
      <c r="A299" s="497" t="s">
        <v>357</v>
      </c>
      <c r="B299" s="497"/>
      <c r="C299" s="497"/>
      <c r="D299" s="497"/>
      <c r="E299" s="497"/>
      <c r="F299" s="497"/>
      <c r="G299" s="497"/>
      <c r="H299" s="497"/>
      <c r="I299" s="497"/>
      <c r="J299" s="497"/>
    </row>
    <row r="300" spans="1:10" ht="21.75">
      <c r="A300" s="491" t="s">
        <v>3</v>
      </c>
      <c r="B300" s="492"/>
      <c r="C300" s="492"/>
      <c r="D300" s="492"/>
      <c r="E300" s="492"/>
      <c r="F300" s="462" t="s">
        <v>218</v>
      </c>
      <c r="G300" s="464"/>
      <c r="H300" s="462" t="s">
        <v>219</v>
      </c>
      <c r="I300" s="464"/>
      <c r="J300" s="494" t="s">
        <v>102</v>
      </c>
    </row>
    <row r="301" spans="1:10" ht="21.75">
      <c r="A301" s="493"/>
      <c r="B301" s="486"/>
      <c r="C301" s="486"/>
      <c r="D301" s="486"/>
      <c r="E301" s="486"/>
      <c r="F301" s="357" t="s">
        <v>6</v>
      </c>
      <c r="G301" s="356" t="s">
        <v>83</v>
      </c>
      <c r="H301" s="357" t="s">
        <v>6</v>
      </c>
      <c r="I301" s="357" t="s">
        <v>83</v>
      </c>
      <c r="J301" s="495"/>
    </row>
    <row r="302" spans="1:10" ht="21.75">
      <c r="A302" s="484" t="s">
        <v>297</v>
      </c>
      <c r="B302" s="484"/>
      <c r="C302" s="484"/>
      <c r="D302" s="484"/>
      <c r="E302" s="489"/>
      <c r="F302" s="24"/>
      <c r="G302" s="25"/>
      <c r="H302" s="25"/>
      <c r="I302" s="25"/>
      <c r="J302" s="26"/>
    </row>
    <row r="303" spans="1:10" ht="21.75">
      <c r="A303" s="24" t="s">
        <v>299</v>
      </c>
      <c r="B303" s="25"/>
      <c r="C303" s="25"/>
      <c r="D303" s="25"/>
      <c r="E303" s="25"/>
      <c r="F303" s="30"/>
      <c r="G303" s="25"/>
      <c r="H303" s="30"/>
      <c r="I303" s="30"/>
      <c r="J303" s="26">
        <f>G303-I303</f>
        <v>0</v>
      </c>
    </row>
    <row r="304" spans="1:10" ht="21.75">
      <c r="A304" s="360" t="s">
        <v>300</v>
      </c>
      <c r="B304" s="362"/>
      <c r="C304" s="362"/>
      <c r="D304" s="362"/>
      <c r="E304" s="362"/>
      <c r="F304" s="411"/>
      <c r="G304" s="362"/>
      <c r="H304" s="411"/>
      <c r="I304" s="411"/>
      <c r="J304" s="361">
        <f>G304-I304</f>
        <v>0</v>
      </c>
    </row>
    <row r="305" spans="1:10" ht="21.75">
      <c r="A305" s="360"/>
      <c r="B305" s="362"/>
      <c r="C305" s="362"/>
      <c r="D305" s="362"/>
      <c r="E305" s="362"/>
      <c r="F305" s="411"/>
      <c r="G305" s="362"/>
      <c r="H305" s="411"/>
      <c r="I305" s="411"/>
      <c r="J305" s="361">
        <f>G305-I305</f>
        <v>0</v>
      </c>
    </row>
    <row r="306" spans="1:10" ht="21.75">
      <c r="A306" s="360"/>
      <c r="B306" s="362"/>
      <c r="C306" s="362"/>
      <c r="D306" s="362"/>
      <c r="E306" s="362"/>
      <c r="F306" s="411"/>
      <c r="G306" s="362"/>
      <c r="H306" s="411"/>
      <c r="I306" s="411"/>
      <c r="J306" s="361">
        <f>G306-I306</f>
        <v>0</v>
      </c>
    </row>
    <row r="307" spans="1:10" ht="21.75">
      <c r="A307" s="490" t="s">
        <v>298</v>
      </c>
      <c r="B307" s="484"/>
      <c r="C307" s="484"/>
      <c r="D307" s="484"/>
      <c r="E307" s="484"/>
      <c r="F307" s="360"/>
      <c r="G307" s="362"/>
      <c r="H307" s="362"/>
      <c r="I307" s="362"/>
      <c r="J307" s="361"/>
    </row>
    <row r="308" spans="1:10" ht="21.75">
      <c r="A308" s="360" t="s">
        <v>341</v>
      </c>
      <c r="B308" s="362"/>
      <c r="C308" s="362"/>
      <c r="D308" s="362"/>
      <c r="E308" s="362"/>
      <c r="F308" s="30"/>
      <c r="G308" s="25"/>
      <c r="H308" s="30"/>
      <c r="I308" s="30"/>
      <c r="J308" s="26">
        <f>G308-I308</f>
        <v>0</v>
      </c>
    </row>
    <row r="309" spans="1:10" ht="21.75">
      <c r="A309" s="360" t="s">
        <v>340</v>
      </c>
      <c r="B309" s="362"/>
      <c r="C309" s="362"/>
      <c r="D309" s="362"/>
      <c r="E309" s="362"/>
      <c r="F309" s="411"/>
      <c r="G309" s="362"/>
      <c r="H309" s="411"/>
      <c r="I309" s="411"/>
      <c r="J309" s="361">
        <f>G309-I309</f>
        <v>0</v>
      </c>
    </row>
    <row r="310" spans="1:10" ht="21.75">
      <c r="A310" s="360"/>
      <c r="B310" s="362"/>
      <c r="C310" s="362"/>
      <c r="D310" s="362"/>
      <c r="E310" s="362"/>
      <c r="F310" s="411"/>
      <c r="G310" s="362"/>
      <c r="H310" s="411"/>
      <c r="I310" s="411"/>
      <c r="J310" s="361">
        <f>G310-I310</f>
        <v>0</v>
      </c>
    </row>
    <row r="311" spans="1:10" ht="21.75">
      <c r="A311" s="360"/>
      <c r="B311" s="362"/>
      <c r="C311" s="362"/>
      <c r="D311" s="362"/>
      <c r="E311" s="362"/>
      <c r="F311" s="411"/>
      <c r="G311" s="362"/>
      <c r="H311" s="411"/>
      <c r="I311" s="411"/>
      <c r="J311" s="361">
        <f>G311-I311</f>
        <v>0</v>
      </c>
    </row>
    <row r="312" spans="1:10" ht="21.75">
      <c r="A312" s="24"/>
      <c r="B312" s="25"/>
      <c r="C312" s="25"/>
      <c r="D312" s="25"/>
      <c r="E312" s="25"/>
      <c r="F312" s="30"/>
      <c r="G312" s="25"/>
      <c r="H312" s="30"/>
      <c r="I312" s="30"/>
      <c r="J312" s="30">
        <f>G312-I312</f>
        <v>0</v>
      </c>
    </row>
    <row r="313" spans="6:10" ht="22.5" thickBot="1">
      <c r="F313" s="414">
        <f>F303+F304+F308+F309+F310+F311+F312</f>
        <v>0</v>
      </c>
      <c r="G313" s="415">
        <f>G303+G304+G308+G309+G310+G311+G312</f>
        <v>0</v>
      </c>
      <c r="H313" s="414">
        <f>H303+H304+H308+H309+H310+H311+H312</f>
        <v>0</v>
      </c>
      <c r="I313" s="415">
        <f>I303+I304+I308+I309+I310+I311+I312</f>
        <v>0</v>
      </c>
      <c r="J313" s="416">
        <f>J303+J304+J305+J306+J308+J309+J310+J311+J312</f>
        <v>0</v>
      </c>
    </row>
    <row r="314" ht="22.5" thickTop="1"/>
    <row r="331" spans="1:10" ht="29.25">
      <c r="A331" s="496" t="s">
        <v>296</v>
      </c>
      <c r="B331" s="496"/>
      <c r="C331" s="496"/>
      <c r="D331" s="496"/>
      <c r="E331" s="496"/>
      <c r="F331" s="496"/>
      <c r="G331" s="496"/>
      <c r="H331" s="496"/>
      <c r="I331" s="496"/>
      <c r="J331" s="496"/>
    </row>
    <row r="332" spans="1:10" ht="23.25">
      <c r="A332" s="497" t="s">
        <v>358</v>
      </c>
      <c r="B332" s="497"/>
      <c r="C332" s="497"/>
      <c r="D332" s="497"/>
      <c r="E332" s="497"/>
      <c r="F332" s="497"/>
      <c r="G332" s="497"/>
      <c r="H332" s="497"/>
      <c r="I332" s="497"/>
      <c r="J332" s="497"/>
    </row>
    <row r="333" spans="1:10" ht="21.75">
      <c r="A333" s="491" t="s">
        <v>3</v>
      </c>
      <c r="B333" s="492"/>
      <c r="C333" s="492"/>
      <c r="D333" s="492"/>
      <c r="E333" s="492"/>
      <c r="F333" s="462" t="s">
        <v>218</v>
      </c>
      <c r="G333" s="464"/>
      <c r="H333" s="462" t="s">
        <v>219</v>
      </c>
      <c r="I333" s="464"/>
      <c r="J333" s="494" t="s">
        <v>102</v>
      </c>
    </row>
    <row r="334" spans="1:10" ht="21.75">
      <c r="A334" s="493"/>
      <c r="B334" s="486"/>
      <c r="C334" s="486"/>
      <c r="D334" s="486"/>
      <c r="E334" s="486"/>
      <c r="F334" s="357" t="s">
        <v>6</v>
      </c>
      <c r="G334" s="356" t="s">
        <v>83</v>
      </c>
      <c r="H334" s="357" t="s">
        <v>6</v>
      </c>
      <c r="I334" s="357" t="s">
        <v>83</v>
      </c>
      <c r="J334" s="495"/>
    </row>
    <row r="335" spans="1:10" ht="21.75">
      <c r="A335" s="484" t="s">
        <v>297</v>
      </c>
      <c r="B335" s="484"/>
      <c r="C335" s="484"/>
      <c r="D335" s="484"/>
      <c r="E335" s="489"/>
      <c r="F335" s="24"/>
      <c r="G335" s="25"/>
      <c r="H335" s="25"/>
      <c r="I335" s="25"/>
      <c r="J335" s="26"/>
    </row>
    <row r="336" spans="1:10" ht="21.75">
      <c r="A336" s="24" t="s">
        <v>299</v>
      </c>
      <c r="B336" s="25"/>
      <c r="C336" s="25"/>
      <c r="D336" s="25"/>
      <c r="E336" s="25"/>
      <c r="F336" s="30"/>
      <c r="G336" s="25"/>
      <c r="H336" s="30"/>
      <c r="I336" s="30"/>
      <c r="J336" s="26">
        <f>G336-I336</f>
        <v>0</v>
      </c>
    </row>
    <row r="337" spans="1:10" ht="21.75">
      <c r="A337" s="360" t="s">
        <v>300</v>
      </c>
      <c r="B337" s="362"/>
      <c r="C337" s="362"/>
      <c r="D337" s="362"/>
      <c r="E337" s="362"/>
      <c r="F337" s="411"/>
      <c r="G337" s="362"/>
      <c r="H337" s="411"/>
      <c r="I337" s="411"/>
      <c r="J337" s="361">
        <f>G337-I337</f>
        <v>0</v>
      </c>
    </row>
    <row r="338" spans="1:10" ht="21.75">
      <c r="A338" s="360"/>
      <c r="B338" s="362"/>
      <c r="C338" s="362"/>
      <c r="D338" s="362"/>
      <c r="E338" s="362"/>
      <c r="F338" s="411"/>
      <c r="G338" s="362"/>
      <c r="H338" s="411"/>
      <c r="I338" s="411"/>
      <c r="J338" s="361">
        <f>G338-I338</f>
        <v>0</v>
      </c>
    </row>
    <row r="339" spans="1:10" ht="21.75">
      <c r="A339" s="360"/>
      <c r="B339" s="362"/>
      <c r="C339" s="362"/>
      <c r="D339" s="362"/>
      <c r="E339" s="362"/>
      <c r="F339" s="411"/>
      <c r="G339" s="362"/>
      <c r="H339" s="411"/>
      <c r="I339" s="411"/>
      <c r="J339" s="361">
        <f>G339-I339</f>
        <v>0</v>
      </c>
    </row>
    <row r="340" spans="1:10" ht="21.75">
      <c r="A340" s="490" t="s">
        <v>298</v>
      </c>
      <c r="B340" s="484"/>
      <c r="C340" s="484"/>
      <c r="D340" s="484"/>
      <c r="E340" s="484"/>
      <c r="F340" s="360"/>
      <c r="G340" s="362"/>
      <c r="H340" s="362"/>
      <c r="I340" s="362"/>
      <c r="J340" s="361"/>
    </row>
    <row r="341" spans="1:10" ht="21.75">
      <c r="A341" s="360" t="s">
        <v>341</v>
      </c>
      <c r="B341" s="362"/>
      <c r="C341" s="362"/>
      <c r="D341" s="362"/>
      <c r="E341" s="362"/>
      <c r="F341" s="30"/>
      <c r="G341" s="25"/>
      <c r="H341" s="30"/>
      <c r="I341" s="30"/>
      <c r="J341" s="26">
        <f>G341-I341</f>
        <v>0</v>
      </c>
    </row>
    <row r="342" spans="1:10" ht="21.75">
      <c r="A342" s="360" t="s">
        <v>340</v>
      </c>
      <c r="B342" s="362"/>
      <c r="C342" s="362"/>
      <c r="D342" s="362"/>
      <c r="E342" s="362"/>
      <c r="F342" s="411"/>
      <c r="G342" s="362"/>
      <c r="H342" s="411"/>
      <c r="I342" s="411"/>
      <c r="J342" s="361">
        <f>G342-I342</f>
        <v>0</v>
      </c>
    </row>
    <row r="343" spans="1:10" ht="21.75">
      <c r="A343" s="360"/>
      <c r="B343" s="362"/>
      <c r="C343" s="362"/>
      <c r="D343" s="362"/>
      <c r="E343" s="362"/>
      <c r="F343" s="411"/>
      <c r="G343" s="362"/>
      <c r="H343" s="411"/>
      <c r="I343" s="411"/>
      <c r="J343" s="361">
        <f>G343-I343</f>
        <v>0</v>
      </c>
    </row>
    <row r="344" spans="1:10" ht="21.75">
      <c r="A344" s="360"/>
      <c r="B344" s="362"/>
      <c r="C344" s="362"/>
      <c r="D344" s="362"/>
      <c r="E344" s="362"/>
      <c r="F344" s="411"/>
      <c r="G344" s="362"/>
      <c r="H344" s="411"/>
      <c r="I344" s="411"/>
      <c r="J344" s="361">
        <f>G344-I344</f>
        <v>0</v>
      </c>
    </row>
    <row r="345" spans="1:10" ht="21.75">
      <c r="A345" s="24"/>
      <c r="B345" s="25"/>
      <c r="C345" s="25"/>
      <c r="D345" s="25"/>
      <c r="E345" s="25"/>
      <c r="F345" s="30"/>
      <c r="G345" s="25"/>
      <c r="H345" s="30"/>
      <c r="I345" s="30"/>
      <c r="J345" s="30">
        <f>G345-I345</f>
        <v>0</v>
      </c>
    </row>
    <row r="346" spans="6:10" ht="22.5" thickBot="1">
      <c r="F346" s="414">
        <f>F336+F337+F341+F342+F343+F344+F345</f>
        <v>0</v>
      </c>
      <c r="G346" s="415">
        <f>G336+G337+G341+G342+G343+G344+G345</f>
        <v>0</v>
      </c>
      <c r="H346" s="414">
        <f>H336+H337+H341+H342+H343+H344+H345</f>
        <v>0</v>
      </c>
      <c r="I346" s="415">
        <f>I336+I337+I341+I342+I343+I344+I345</f>
        <v>0</v>
      </c>
      <c r="J346" s="416">
        <f>J336+J337+J338+J339+J341+J342+J343+J344+J345</f>
        <v>0</v>
      </c>
    </row>
    <row r="347" ht="22.5" thickTop="1"/>
    <row r="363" spans="1:10" ht="21.75">
      <c r="A363" s="22"/>
      <c r="B363" s="22"/>
      <c r="C363" s="22"/>
      <c r="D363" s="22"/>
      <c r="E363" s="22"/>
      <c r="F363" s="22"/>
      <c r="G363" s="22"/>
      <c r="H363" s="22"/>
      <c r="I363" s="22"/>
      <c r="J363" s="22"/>
    </row>
    <row r="364" spans="1:10" ht="29.25">
      <c r="A364" s="487"/>
      <c r="B364" s="487"/>
      <c r="C364" s="487"/>
      <c r="D364" s="487"/>
      <c r="E364" s="487"/>
      <c r="F364" s="487"/>
      <c r="G364" s="487"/>
      <c r="H364" s="487"/>
      <c r="I364" s="487"/>
      <c r="J364" s="487"/>
    </row>
    <row r="365" spans="1:10" ht="23.25">
      <c r="A365" s="488"/>
      <c r="B365" s="488"/>
      <c r="C365" s="488"/>
      <c r="D365" s="488"/>
      <c r="E365" s="488"/>
      <c r="F365" s="488"/>
      <c r="G365" s="488"/>
      <c r="H365" s="488"/>
      <c r="I365" s="488"/>
      <c r="J365" s="488"/>
    </row>
    <row r="366" spans="1:10" ht="21.75">
      <c r="A366" s="485"/>
      <c r="B366" s="485"/>
      <c r="C366" s="485"/>
      <c r="D366" s="485"/>
      <c r="E366" s="485"/>
      <c r="F366" s="483"/>
      <c r="G366" s="483"/>
      <c r="H366" s="483"/>
      <c r="I366" s="483"/>
      <c r="J366" s="485"/>
    </row>
    <row r="367" spans="1:10" ht="21.75">
      <c r="A367" s="486"/>
      <c r="B367" s="486"/>
      <c r="C367" s="486"/>
      <c r="D367" s="486"/>
      <c r="E367" s="486"/>
      <c r="F367" s="418"/>
      <c r="G367" s="418"/>
      <c r="H367" s="418"/>
      <c r="I367" s="418"/>
      <c r="J367" s="485"/>
    </row>
    <row r="368" spans="1:10" ht="21.75">
      <c r="A368" s="484"/>
      <c r="B368" s="484"/>
      <c r="C368" s="484"/>
      <c r="D368" s="484"/>
      <c r="E368" s="484"/>
      <c r="F368" s="22"/>
      <c r="G368" s="22"/>
      <c r="H368" s="22"/>
      <c r="I368" s="22"/>
      <c r="J368" s="22"/>
    </row>
    <row r="369" spans="1:10" ht="21.75">
      <c r="A369" s="22"/>
      <c r="B369" s="22"/>
      <c r="C369" s="22"/>
      <c r="D369" s="22"/>
      <c r="E369" s="22"/>
      <c r="F369" s="22"/>
      <c r="G369" s="22"/>
      <c r="H369" s="22"/>
      <c r="I369" s="22"/>
      <c r="J369" s="22"/>
    </row>
    <row r="370" spans="1:10" ht="21.75">
      <c r="A370" s="22"/>
      <c r="B370" s="22"/>
      <c r="C370" s="22"/>
      <c r="D370" s="22"/>
      <c r="E370" s="22"/>
      <c r="F370" s="22"/>
      <c r="G370" s="22"/>
      <c r="H370" s="22"/>
      <c r="I370" s="22"/>
      <c r="J370" s="22"/>
    </row>
    <row r="371" spans="1:10" ht="21.75">
      <c r="A371" s="22"/>
      <c r="B371" s="22"/>
      <c r="C371" s="22"/>
      <c r="D371" s="22"/>
      <c r="E371" s="22"/>
      <c r="F371" s="22"/>
      <c r="G371" s="22"/>
      <c r="H371" s="22"/>
      <c r="I371" s="22"/>
      <c r="J371" s="22"/>
    </row>
    <row r="372" spans="1:10" ht="21.75">
      <c r="A372" s="22"/>
      <c r="B372" s="22"/>
      <c r="C372" s="22"/>
      <c r="D372" s="22"/>
      <c r="E372" s="22"/>
      <c r="F372" s="22"/>
      <c r="G372" s="22"/>
      <c r="H372" s="22"/>
      <c r="I372" s="22"/>
      <c r="J372" s="22"/>
    </row>
    <row r="373" spans="1:10" ht="21.75">
      <c r="A373" s="484"/>
      <c r="B373" s="484"/>
      <c r="C373" s="484"/>
      <c r="D373" s="484"/>
      <c r="E373" s="484"/>
      <c r="F373" s="22"/>
      <c r="G373" s="22"/>
      <c r="H373" s="22"/>
      <c r="I373" s="22"/>
      <c r="J373" s="22"/>
    </row>
    <row r="374" spans="1:10" ht="21.75">
      <c r="A374" s="22"/>
      <c r="B374" s="22"/>
      <c r="C374" s="22"/>
      <c r="D374" s="22"/>
      <c r="E374" s="22"/>
      <c r="F374" s="22"/>
      <c r="G374" s="22"/>
      <c r="H374" s="22"/>
      <c r="I374" s="22"/>
      <c r="J374" s="22"/>
    </row>
    <row r="375" spans="1:10" ht="21.75">
      <c r="A375" s="22"/>
      <c r="B375" s="22"/>
      <c r="C375" s="22"/>
      <c r="D375" s="22"/>
      <c r="E375" s="22"/>
      <c r="F375" s="22"/>
      <c r="G375" s="22"/>
      <c r="H375" s="22"/>
      <c r="I375" s="22"/>
      <c r="J375" s="22"/>
    </row>
    <row r="376" spans="1:10" ht="21.75">
      <c r="A376" s="22"/>
      <c r="B376" s="22"/>
      <c r="C376" s="22"/>
      <c r="D376" s="22"/>
      <c r="E376" s="22"/>
      <c r="F376" s="22"/>
      <c r="G376" s="22"/>
      <c r="H376" s="22"/>
      <c r="I376" s="22"/>
      <c r="J376" s="22"/>
    </row>
    <row r="377" spans="1:10" ht="21.75">
      <c r="A377" s="22"/>
      <c r="B377" s="22"/>
      <c r="C377" s="22"/>
      <c r="D377" s="22"/>
      <c r="E377" s="22"/>
      <c r="F377" s="22"/>
      <c r="G377" s="22"/>
      <c r="H377" s="22"/>
      <c r="I377" s="22"/>
      <c r="J377" s="22"/>
    </row>
    <row r="378" spans="1:10" ht="21.75">
      <c r="A378" s="22"/>
      <c r="B378" s="22"/>
      <c r="C378" s="22"/>
      <c r="D378" s="22"/>
      <c r="E378" s="22"/>
      <c r="F378" s="22"/>
      <c r="G378" s="22"/>
      <c r="H378" s="22"/>
      <c r="I378" s="22"/>
      <c r="J378" s="22"/>
    </row>
    <row r="379" spans="1:10" ht="21.75">
      <c r="A379" s="22"/>
      <c r="B379" s="22"/>
      <c r="C379" s="22"/>
      <c r="D379" s="22"/>
      <c r="E379" s="22"/>
      <c r="F379" s="376"/>
      <c r="G379" s="376"/>
      <c r="H379" s="376"/>
      <c r="I379" s="376"/>
      <c r="J379" s="376"/>
    </row>
    <row r="380" spans="1:10" ht="21.75">
      <c r="A380" s="22"/>
      <c r="B380" s="22"/>
      <c r="C380" s="22"/>
      <c r="D380" s="22"/>
      <c r="E380" s="22"/>
      <c r="F380" s="22"/>
      <c r="G380" s="22"/>
      <c r="H380" s="22"/>
      <c r="I380" s="22"/>
      <c r="J380" s="22"/>
    </row>
    <row r="381" spans="1:10" ht="21.75">
      <c r="A381" s="22"/>
      <c r="B381" s="22"/>
      <c r="C381" s="22"/>
      <c r="D381" s="22"/>
      <c r="E381" s="22"/>
      <c r="F381" s="22"/>
      <c r="G381" s="22"/>
      <c r="H381" s="22"/>
      <c r="I381" s="22"/>
      <c r="J381" s="22"/>
    </row>
    <row r="382" spans="1:10" ht="21.75">
      <c r="A382" s="22"/>
      <c r="B382" s="22"/>
      <c r="C382" s="22"/>
      <c r="D382" s="22"/>
      <c r="E382" s="22"/>
      <c r="F382" s="22"/>
      <c r="G382" s="22"/>
      <c r="H382" s="22"/>
      <c r="I382" s="22"/>
      <c r="J382" s="22"/>
    </row>
    <row r="383" spans="1:10" ht="21.75">
      <c r="A383" s="22"/>
      <c r="B383" s="22"/>
      <c r="C383" s="22"/>
      <c r="D383" s="22"/>
      <c r="E383" s="22"/>
      <c r="F383" s="22"/>
      <c r="G383" s="22"/>
      <c r="H383" s="22"/>
      <c r="I383" s="22"/>
      <c r="J383" s="22"/>
    </row>
    <row r="384" spans="1:10" ht="21.75">
      <c r="A384" s="22"/>
      <c r="B384" s="22"/>
      <c r="C384" s="22"/>
      <c r="D384" s="22"/>
      <c r="E384" s="22"/>
      <c r="F384" s="22"/>
      <c r="G384" s="22"/>
      <c r="H384" s="22"/>
      <c r="I384" s="22"/>
      <c r="J384" s="22"/>
    </row>
    <row r="385" spans="1:10" ht="21.75">
      <c r="A385" s="22"/>
      <c r="B385" s="22"/>
      <c r="C385" s="22"/>
      <c r="D385" s="22"/>
      <c r="E385" s="22"/>
      <c r="F385" s="22"/>
      <c r="G385" s="22"/>
      <c r="H385" s="22"/>
      <c r="I385" s="22"/>
      <c r="J385" s="22"/>
    </row>
    <row r="386" spans="1:10" ht="21.75">
      <c r="A386" s="22"/>
      <c r="B386" s="22"/>
      <c r="C386" s="22"/>
      <c r="D386" s="22"/>
      <c r="E386" s="22"/>
      <c r="F386" s="22"/>
      <c r="G386" s="22"/>
      <c r="H386" s="22"/>
      <c r="I386" s="22"/>
      <c r="J386" s="22"/>
    </row>
    <row r="387" spans="1:10" ht="21.75">
      <c r="A387" s="22"/>
      <c r="B387" s="22"/>
      <c r="C387" s="22"/>
      <c r="D387" s="22"/>
      <c r="E387" s="22"/>
      <c r="F387" s="22"/>
      <c r="G387" s="22"/>
      <c r="H387" s="22"/>
      <c r="I387" s="22"/>
      <c r="J387" s="22"/>
    </row>
    <row r="388" spans="1:10" ht="21.75">
      <c r="A388" s="22"/>
      <c r="B388" s="22"/>
      <c r="C388" s="22"/>
      <c r="D388" s="22"/>
      <c r="E388" s="22"/>
      <c r="F388" s="22"/>
      <c r="G388" s="22"/>
      <c r="H388" s="22"/>
      <c r="I388" s="22"/>
      <c r="J388" s="22"/>
    </row>
    <row r="389" spans="1:10" ht="21.75">
      <c r="A389" s="22"/>
      <c r="B389" s="22"/>
      <c r="C389" s="22"/>
      <c r="D389" s="22"/>
      <c r="E389" s="22"/>
      <c r="F389" s="22"/>
      <c r="G389" s="22"/>
      <c r="H389" s="22"/>
      <c r="I389" s="22"/>
      <c r="J389" s="22"/>
    </row>
    <row r="390" spans="1:10" ht="21.75">
      <c r="A390" s="22"/>
      <c r="B390" s="22"/>
      <c r="C390" s="22"/>
      <c r="D390" s="22"/>
      <c r="E390" s="22"/>
      <c r="F390" s="22"/>
      <c r="G390" s="22"/>
      <c r="H390" s="22"/>
      <c r="I390" s="22"/>
      <c r="J390" s="22"/>
    </row>
    <row r="391" spans="1:10" ht="21.75">
      <c r="A391" s="22"/>
      <c r="B391" s="22"/>
      <c r="C391" s="22"/>
      <c r="D391" s="22"/>
      <c r="E391" s="22"/>
      <c r="F391" s="22"/>
      <c r="G391" s="22"/>
      <c r="H391" s="22"/>
      <c r="I391" s="22"/>
      <c r="J391" s="22"/>
    </row>
    <row r="392" spans="1:10" ht="21.75">
      <c r="A392" s="22"/>
      <c r="B392" s="22"/>
      <c r="C392" s="22"/>
      <c r="D392" s="22"/>
      <c r="E392" s="22"/>
      <c r="F392" s="22"/>
      <c r="G392" s="22"/>
      <c r="H392" s="22"/>
      <c r="I392" s="22"/>
      <c r="J392" s="22"/>
    </row>
    <row r="393" spans="1:10" ht="21.75">
      <c r="A393" s="22"/>
      <c r="B393" s="22"/>
      <c r="C393" s="22"/>
      <c r="D393" s="22"/>
      <c r="E393" s="22"/>
      <c r="F393" s="22"/>
      <c r="G393" s="22"/>
      <c r="H393" s="22"/>
      <c r="I393" s="22"/>
      <c r="J393" s="22"/>
    </row>
    <row r="394" spans="1:10" ht="21.75">
      <c r="A394" s="22"/>
      <c r="B394" s="22"/>
      <c r="C394" s="22"/>
      <c r="D394" s="22"/>
      <c r="E394" s="22"/>
      <c r="F394" s="22"/>
      <c r="G394" s="22"/>
      <c r="H394" s="22"/>
      <c r="I394" s="22"/>
      <c r="J394" s="22"/>
    </row>
    <row r="395" spans="1:10" ht="21.75">
      <c r="A395" s="22"/>
      <c r="B395" s="22"/>
      <c r="C395" s="22"/>
      <c r="D395" s="22"/>
      <c r="E395" s="22"/>
      <c r="F395" s="22"/>
      <c r="G395" s="22"/>
      <c r="H395" s="22"/>
      <c r="I395" s="22"/>
      <c r="J395" s="22"/>
    </row>
    <row r="396" spans="1:10" ht="21.75">
      <c r="A396" s="22"/>
      <c r="B396" s="22"/>
      <c r="C396" s="22"/>
      <c r="D396" s="22"/>
      <c r="E396" s="22"/>
      <c r="F396" s="22"/>
      <c r="G396" s="22"/>
      <c r="H396" s="22"/>
      <c r="I396" s="22"/>
      <c r="J396" s="22"/>
    </row>
    <row r="397" spans="1:10" ht="29.25">
      <c r="A397" s="487"/>
      <c r="B397" s="487"/>
      <c r="C397" s="487"/>
      <c r="D397" s="487"/>
      <c r="E397" s="487"/>
      <c r="F397" s="487"/>
      <c r="G397" s="487"/>
      <c r="H397" s="487"/>
      <c r="I397" s="487"/>
      <c r="J397" s="487"/>
    </row>
    <row r="398" spans="1:10" ht="23.25">
      <c r="A398" s="488"/>
      <c r="B398" s="488"/>
      <c r="C398" s="488"/>
      <c r="D398" s="488"/>
      <c r="E398" s="488"/>
      <c r="F398" s="488"/>
      <c r="G398" s="488"/>
      <c r="H398" s="488"/>
      <c r="I398" s="488"/>
      <c r="J398" s="488"/>
    </row>
    <row r="399" spans="1:10" ht="21.75">
      <c r="A399" s="485"/>
      <c r="B399" s="485"/>
      <c r="C399" s="485"/>
      <c r="D399" s="485"/>
      <c r="E399" s="485"/>
      <c r="F399" s="483"/>
      <c r="G399" s="483"/>
      <c r="H399" s="483"/>
      <c r="I399" s="483"/>
      <c r="J399" s="485"/>
    </row>
    <row r="400" spans="1:10" ht="21.75">
      <c r="A400" s="486"/>
      <c r="B400" s="486"/>
      <c r="C400" s="486"/>
      <c r="D400" s="486"/>
      <c r="E400" s="486"/>
      <c r="F400" s="418"/>
      <c r="G400" s="418"/>
      <c r="H400" s="418"/>
      <c r="I400" s="418"/>
      <c r="J400" s="485"/>
    </row>
    <row r="401" spans="1:10" ht="21.75">
      <c r="A401" s="484"/>
      <c r="B401" s="484"/>
      <c r="C401" s="484"/>
      <c r="D401" s="484"/>
      <c r="E401" s="484"/>
      <c r="F401" s="22"/>
      <c r="G401" s="22"/>
      <c r="H401" s="22"/>
      <c r="I401" s="22"/>
      <c r="J401" s="22"/>
    </row>
    <row r="402" spans="1:10" ht="21.75">
      <c r="A402" s="22"/>
      <c r="B402" s="22"/>
      <c r="C402" s="22"/>
      <c r="D402" s="22"/>
      <c r="E402" s="22"/>
      <c r="F402" s="22"/>
      <c r="G402" s="22"/>
      <c r="H402" s="22"/>
      <c r="I402" s="22"/>
      <c r="J402" s="22"/>
    </row>
    <row r="403" spans="1:10" ht="21.75">
      <c r="A403" s="22"/>
      <c r="B403" s="22"/>
      <c r="C403" s="22"/>
      <c r="D403" s="22"/>
      <c r="E403" s="22"/>
      <c r="F403" s="22"/>
      <c r="G403" s="22"/>
      <c r="H403" s="22"/>
      <c r="I403" s="22"/>
      <c r="J403" s="22"/>
    </row>
    <row r="404" spans="1:10" ht="21.75">
      <c r="A404" s="22"/>
      <c r="B404" s="22"/>
      <c r="C404" s="22"/>
      <c r="D404" s="22"/>
      <c r="E404" s="22"/>
      <c r="F404" s="22"/>
      <c r="G404" s="22"/>
      <c r="H404" s="22"/>
      <c r="I404" s="22"/>
      <c r="J404" s="22"/>
    </row>
    <row r="405" spans="1:10" ht="21.75">
      <c r="A405" s="22"/>
      <c r="B405" s="22"/>
      <c r="C405" s="22"/>
      <c r="D405" s="22"/>
      <c r="E405" s="22"/>
      <c r="F405" s="22"/>
      <c r="G405" s="22"/>
      <c r="H405" s="22"/>
      <c r="I405" s="22"/>
      <c r="J405" s="22"/>
    </row>
    <row r="406" spans="1:10" ht="21.75">
      <c r="A406" s="484"/>
      <c r="B406" s="484"/>
      <c r="C406" s="484"/>
      <c r="D406" s="484"/>
      <c r="E406" s="484"/>
      <c r="F406" s="22"/>
      <c r="G406" s="22"/>
      <c r="H406" s="22"/>
      <c r="I406" s="22"/>
      <c r="J406" s="22"/>
    </row>
    <row r="407" spans="1:10" ht="21.75">
      <c r="A407" s="22"/>
      <c r="B407" s="22"/>
      <c r="C407" s="22"/>
      <c r="D407" s="22"/>
      <c r="E407" s="22"/>
      <c r="F407" s="22"/>
      <c r="G407" s="22"/>
      <c r="H407" s="22"/>
      <c r="I407" s="22"/>
      <c r="J407" s="22"/>
    </row>
    <row r="408" spans="1:10" ht="21.75">
      <c r="A408" s="22"/>
      <c r="B408" s="22"/>
      <c r="C408" s="22"/>
      <c r="D408" s="22"/>
      <c r="E408" s="22"/>
      <c r="F408" s="22"/>
      <c r="G408" s="22"/>
      <c r="H408" s="22"/>
      <c r="I408" s="22"/>
      <c r="J408" s="22"/>
    </row>
    <row r="409" spans="1:10" ht="21.75">
      <c r="A409" s="22"/>
      <c r="B409" s="22"/>
      <c r="C409" s="22"/>
      <c r="D409" s="22"/>
      <c r="E409" s="22"/>
      <c r="F409" s="22"/>
      <c r="G409" s="22"/>
      <c r="H409" s="22"/>
      <c r="I409" s="22"/>
      <c r="J409" s="22"/>
    </row>
    <row r="410" spans="1:10" ht="21.75">
      <c r="A410" s="22"/>
      <c r="B410" s="22"/>
      <c r="C410" s="22"/>
      <c r="D410" s="22"/>
      <c r="E410" s="22"/>
      <c r="F410" s="22"/>
      <c r="G410" s="22"/>
      <c r="H410" s="22"/>
      <c r="I410" s="22"/>
      <c r="J410" s="22"/>
    </row>
    <row r="411" spans="1:10" ht="21.75">
      <c r="A411" s="22"/>
      <c r="B411" s="22"/>
      <c r="C411" s="22"/>
      <c r="D411" s="22"/>
      <c r="E411" s="22"/>
      <c r="F411" s="22"/>
      <c r="G411" s="22"/>
      <c r="H411" s="22"/>
      <c r="I411" s="22"/>
      <c r="J411" s="22"/>
    </row>
    <row r="412" spans="1:10" ht="21.75">
      <c r="A412" s="22"/>
      <c r="B412" s="22"/>
      <c r="C412" s="22"/>
      <c r="D412" s="22"/>
      <c r="E412" s="22"/>
      <c r="F412" s="376"/>
      <c r="G412" s="376"/>
      <c r="H412" s="376"/>
      <c r="I412" s="376"/>
      <c r="J412" s="376"/>
    </row>
    <row r="413" spans="1:10" ht="21.75">
      <c r="A413" s="22"/>
      <c r="B413" s="22"/>
      <c r="C413" s="22"/>
      <c r="D413" s="22"/>
      <c r="E413" s="22"/>
      <c r="F413" s="22"/>
      <c r="G413" s="22"/>
      <c r="H413" s="22"/>
      <c r="I413" s="22"/>
      <c r="J413" s="22"/>
    </row>
    <row r="414" spans="1:10" ht="21.75">
      <c r="A414" s="22"/>
      <c r="B414" s="22"/>
      <c r="C414" s="22"/>
      <c r="D414" s="22"/>
      <c r="E414" s="22"/>
      <c r="F414" s="22"/>
      <c r="G414" s="22"/>
      <c r="H414" s="22"/>
      <c r="I414" s="22"/>
      <c r="J414" s="22"/>
    </row>
    <row r="415" spans="1:10" ht="21.75">
      <c r="A415" s="22"/>
      <c r="B415" s="22"/>
      <c r="C415" s="22"/>
      <c r="D415" s="22"/>
      <c r="E415" s="22"/>
      <c r="F415" s="22"/>
      <c r="G415" s="22"/>
      <c r="H415" s="22"/>
      <c r="I415" s="22"/>
      <c r="J415" s="22"/>
    </row>
  </sheetData>
  <mergeCells count="104">
    <mergeCell ref="A5:E5"/>
    <mergeCell ref="A10:E10"/>
    <mergeCell ref="A1:J1"/>
    <mergeCell ref="A2:J2"/>
    <mergeCell ref="J3:J4"/>
    <mergeCell ref="A3:E4"/>
    <mergeCell ref="F3:G3"/>
    <mergeCell ref="H3:I3"/>
    <mergeCell ref="A35:J35"/>
    <mergeCell ref="A36:J36"/>
    <mergeCell ref="A37:E38"/>
    <mergeCell ref="F37:G37"/>
    <mergeCell ref="H37:I37"/>
    <mergeCell ref="J37:J38"/>
    <mergeCell ref="A39:E39"/>
    <mergeCell ref="A43:E43"/>
    <mergeCell ref="A67:J67"/>
    <mergeCell ref="A68:J68"/>
    <mergeCell ref="A69:E70"/>
    <mergeCell ref="F69:G69"/>
    <mergeCell ref="H69:I69"/>
    <mergeCell ref="J69:J70"/>
    <mergeCell ref="A71:E71"/>
    <mergeCell ref="A75:E75"/>
    <mergeCell ref="A100:J100"/>
    <mergeCell ref="A101:J101"/>
    <mergeCell ref="A102:E103"/>
    <mergeCell ref="F102:G102"/>
    <mergeCell ref="H102:I102"/>
    <mergeCell ref="J102:J103"/>
    <mergeCell ref="A104:E104"/>
    <mergeCell ref="A108:E108"/>
    <mergeCell ref="A133:J133"/>
    <mergeCell ref="A134:J134"/>
    <mergeCell ref="A135:E136"/>
    <mergeCell ref="F135:G135"/>
    <mergeCell ref="H135:I135"/>
    <mergeCell ref="J135:J136"/>
    <mergeCell ref="A137:E137"/>
    <mergeCell ref="A141:E141"/>
    <mergeCell ref="A167:J167"/>
    <mergeCell ref="A168:J168"/>
    <mergeCell ref="A169:E170"/>
    <mergeCell ref="F169:G169"/>
    <mergeCell ref="H169:I169"/>
    <mergeCell ref="J169:J170"/>
    <mergeCell ref="A171:E171"/>
    <mergeCell ref="A175:E175"/>
    <mergeCell ref="A199:J199"/>
    <mergeCell ref="A200:J200"/>
    <mergeCell ref="A201:E202"/>
    <mergeCell ref="F201:G201"/>
    <mergeCell ref="H201:I201"/>
    <mergeCell ref="J201:J202"/>
    <mergeCell ref="A203:E203"/>
    <mergeCell ref="A208:E208"/>
    <mergeCell ref="A232:J232"/>
    <mergeCell ref="A233:J233"/>
    <mergeCell ref="A234:E235"/>
    <mergeCell ref="F234:G234"/>
    <mergeCell ref="H234:I234"/>
    <mergeCell ref="J234:J235"/>
    <mergeCell ref="A236:E236"/>
    <mergeCell ref="A240:E240"/>
    <mergeCell ref="A265:J265"/>
    <mergeCell ref="A266:J266"/>
    <mergeCell ref="A267:E268"/>
    <mergeCell ref="F267:G267"/>
    <mergeCell ref="H267:I267"/>
    <mergeCell ref="J267:J268"/>
    <mergeCell ref="A269:E269"/>
    <mergeCell ref="A274:E274"/>
    <mergeCell ref="A298:J298"/>
    <mergeCell ref="A299:J299"/>
    <mergeCell ref="A300:E301"/>
    <mergeCell ref="F300:G300"/>
    <mergeCell ref="H300:I300"/>
    <mergeCell ref="J300:J301"/>
    <mergeCell ref="A302:E302"/>
    <mergeCell ref="A307:E307"/>
    <mergeCell ref="A331:J331"/>
    <mergeCell ref="A332:J332"/>
    <mergeCell ref="A333:E334"/>
    <mergeCell ref="F333:G333"/>
    <mergeCell ref="H333:I333"/>
    <mergeCell ref="J333:J334"/>
    <mergeCell ref="A335:E335"/>
    <mergeCell ref="A340:E340"/>
    <mergeCell ref="A364:J364"/>
    <mergeCell ref="A365:J365"/>
    <mergeCell ref="A366:E367"/>
    <mergeCell ref="F366:G366"/>
    <mergeCell ref="H366:I366"/>
    <mergeCell ref="J366:J367"/>
    <mergeCell ref="H399:I399"/>
    <mergeCell ref="J399:J400"/>
    <mergeCell ref="A368:E368"/>
    <mergeCell ref="A373:E373"/>
    <mergeCell ref="A397:J397"/>
    <mergeCell ref="A398:J398"/>
    <mergeCell ref="A401:E401"/>
    <mergeCell ref="A406:E406"/>
    <mergeCell ref="A399:E400"/>
    <mergeCell ref="F399:G399"/>
  </mergeCells>
  <printOptions/>
  <pageMargins left="0" right="0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4"/>
  <sheetViews>
    <sheetView workbookViewId="0" topLeftCell="A4">
      <selection activeCell="K15" sqref="K15"/>
    </sheetView>
  </sheetViews>
  <sheetFormatPr defaultColWidth="9.140625" defaultRowHeight="21.75"/>
  <cols>
    <col min="5" max="5" width="5.421875" style="0" customWidth="1"/>
    <col min="6" max="6" width="16.421875" style="0" customWidth="1"/>
    <col min="7" max="7" width="14.421875" style="0" customWidth="1"/>
    <col min="8" max="8" width="14.8515625" style="0" customWidth="1"/>
    <col min="9" max="9" width="12.28125" style="0" customWidth="1"/>
  </cols>
  <sheetData>
    <row r="1" spans="1:9" ht="29.25">
      <c r="A1" s="496" t="s">
        <v>287</v>
      </c>
      <c r="B1" s="496"/>
      <c r="C1" s="496"/>
      <c r="D1" s="496"/>
      <c r="E1" s="496"/>
      <c r="F1" s="496"/>
      <c r="G1" s="496"/>
      <c r="H1" s="496"/>
      <c r="I1" s="496"/>
    </row>
    <row r="2" spans="1:9" ht="23.25">
      <c r="A2" s="500" t="s">
        <v>418</v>
      </c>
      <c r="B2" s="500"/>
      <c r="C2" s="500"/>
      <c r="D2" s="500"/>
      <c r="E2" s="500"/>
      <c r="F2" s="500"/>
      <c r="G2" s="500"/>
      <c r="H2" s="500"/>
      <c r="I2" s="500"/>
    </row>
    <row r="3" spans="1:9" ht="21.75">
      <c r="A3" s="462" t="s">
        <v>3</v>
      </c>
      <c r="B3" s="463"/>
      <c r="C3" s="463"/>
      <c r="D3" s="463"/>
      <c r="E3" s="464"/>
      <c r="F3" s="357" t="s">
        <v>303</v>
      </c>
      <c r="G3" s="357" t="s">
        <v>284</v>
      </c>
      <c r="H3" s="357" t="s">
        <v>104</v>
      </c>
      <c r="I3" s="357" t="s">
        <v>102</v>
      </c>
    </row>
    <row r="4" spans="1:9" ht="21.75">
      <c r="A4" s="498" t="s">
        <v>48</v>
      </c>
      <c r="B4" s="499"/>
      <c r="C4" s="499"/>
      <c r="D4" s="499"/>
      <c r="E4" s="499"/>
      <c r="F4" s="22"/>
      <c r="G4" s="22"/>
      <c r="H4" s="22"/>
      <c r="I4" s="361"/>
    </row>
    <row r="5" spans="1:9" ht="21.75">
      <c r="A5" s="360" t="s">
        <v>288</v>
      </c>
      <c r="B5" s="362"/>
      <c r="C5" s="362"/>
      <c r="D5" s="362"/>
      <c r="E5" s="361"/>
      <c r="F5" s="363">
        <v>12000</v>
      </c>
      <c r="G5" s="363">
        <v>0</v>
      </c>
      <c r="H5" s="363">
        <v>12000</v>
      </c>
      <c r="I5" s="363">
        <f aca="true" t="shared" si="0" ref="I5:I11">F5-H5</f>
        <v>0</v>
      </c>
    </row>
    <row r="6" spans="1:9" ht="21.75">
      <c r="A6" s="360" t="s">
        <v>289</v>
      </c>
      <c r="B6" s="362"/>
      <c r="C6" s="362"/>
      <c r="D6" s="362"/>
      <c r="E6" s="361"/>
      <c r="F6" s="363">
        <v>10000</v>
      </c>
      <c r="G6" s="363">
        <v>0</v>
      </c>
      <c r="H6" s="363">
        <v>10000</v>
      </c>
      <c r="I6" s="363">
        <f t="shared" si="0"/>
        <v>0</v>
      </c>
    </row>
    <row r="7" spans="1:9" ht="21.75">
      <c r="A7" s="360" t="s">
        <v>290</v>
      </c>
      <c r="B7" s="362"/>
      <c r="C7" s="362"/>
      <c r="D7" s="362"/>
      <c r="E7" s="361"/>
      <c r="F7" s="363">
        <v>16000</v>
      </c>
      <c r="G7" s="363">
        <v>0</v>
      </c>
      <c r="H7" s="363">
        <v>16000</v>
      </c>
      <c r="I7" s="363">
        <f t="shared" si="0"/>
        <v>0</v>
      </c>
    </row>
    <row r="8" spans="1:9" ht="21.75">
      <c r="A8" s="360" t="s">
        <v>291</v>
      </c>
      <c r="B8" s="362"/>
      <c r="C8" s="362"/>
      <c r="D8" s="362"/>
      <c r="E8" s="361"/>
      <c r="F8" s="363">
        <v>38000</v>
      </c>
      <c r="G8" s="363">
        <v>0</v>
      </c>
      <c r="H8" s="363">
        <v>38000</v>
      </c>
      <c r="I8" s="363">
        <f t="shared" si="0"/>
        <v>0</v>
      </c>
    </row>
    <row r="9" spans="1:9" ht="21.75">
      <c r="A9" s="360" t="s">
        <v>292</v>
      </c>
      <c r="B9" s="362"/>
      <c r="C9" s="362"/>
      <c r="D9" s="362"/>
      <c r="E9" s="361"/>
      <c r="F9" s="363">
        <v>22897.2</v>
      </c>
      <c r="G9" s="363">
        <v>0</v>
      </c>
      <c r="H9" s="363">
        <v>22897.2</v>
      </c>
      <c r="I9" s="363">
        <f t="shared" si="0"/>
        <v>0</v>
      </c>
    </row>
    <row r="10" spans="1:9" ht="21.75">
      <c r="A10" s="360" t="s">
        <v>293</v>
      </c>
      <c r="B10" s="362"/>
      <c r="C10" s="362"/>
      <c r="D10" s="362"/>
      <c r="E10" s="361"/>
      <c r="F10" s="363">
        <v>18300</v>
      </c>
      <c r="G10" s="363">
        <v>0</v>
      </c>
      <c r="H10" s="363">
        <v>18300</v>
      </c>
      <c r="I10" s="363">
        <f t="shared" si="0"/>
        <v>0</v>
      </c>
    </row>
    <row r="11" spans="1:9" ht="21.75">
      <c r="A11" s="360" t="s">
        <v>294</v>
      </c>
      <c r="B11" s="362"/>
      <c r="C11" s="362"/>
      <c r="D11" s="362"/>
      <c r="E11" s="361"/>
      <c r="F11" s="363">
        <v>8700</v>
      </c>
      <c r="G11" s="363">
        <v>0</v>
      </c>
      <c r="H11" s="363">
        <v>8700</v>
      </c>
      <c r="I11" s="363">
        <f t="shared" si="0"/>
        <v>0</v>
      </c>
    </row>
    <row r="12" spans="1:9" ht="21.75">
      <c r="A12" s="498" t="s">
        <v>49</v>
      </c>
      <c r="B12" s="499"/>
      <c r="C12" s="499"/>
      <c r="D12" s="499"/>
      <c r="E12" s="499"/>
      <c r="F12" s="17"/>
      <c r="G12" s="17"/>
      <c r="H12" s="17"/>
      <c r="I12" s="393"/>
    </row>
    <row r="13" spans="1:9" ht="21.75">
      <c r="A13" s="360" t="s">
        <v>295</v>
      </c>
      <c r="B13" s="362"/>
      <c r="C13" s="362"/>
      <c r="D13" s="362"/>
      <c r="E13" s="361"/>
      <c r="F13" s="363">
        <v>364968.42</v>
      </c>
      <c r="G13" s="363">
        <v>0</v>
      </c>
      <c r="H13" s="363">
        <v>364968.42</v>
      </c>
      <c r="I13" s="363">
        <f>F13-H13</f>
        <v>0</v>
      </c>
    </row>
    <row r="14" spans="6:9" ht="22.5" thickBot="1">
      <c r="F14" s="276">
        <f>F5+F6+F7+F8+F9+F10+F11+F13</f>
        <v>490865.62</v>
      </c>
      <c r="G14" s="380">
        <f>G5+G6+G7+G8+G9+G10+G11+G13</f>
        <v>0</v>
      </c>
      <c r="H14" s="276">
        <f>H5+H6+H7+H8+H9+H10+H11+H13</f>
        <v>490865.62</v>
      </c>
      <c r="I14" s="381">
        <f>I5+I6+I7+I8+I9+I10+I11+I13</f>
        <v>0</v>
      </c>
    </row>
    <row r="15" ht="22.5" thickTop="1"/>
    <row r="18" spans="1:9" ht="29.25">
      <c r="A18" s="496" t="s">
        <v>302</v>
      </c>
      <c r="B18" s="496"/>
      <c r="C18" s="496"/>
      <c r="D18" s="496"/>
      <c r="E18" s="496"/>
      <c r="F18" s="496"/>
      <c r="G18" s="496"/>
      <c r="H18" s="496"/>
      <c r="I18" s="496"/>
    </row>
    <row r="19" spans="1:9" ht="23.25">
      <c r="A19" s="497" t="s">
        <v>419</v>
      </c>
      <c r="B19" s="497"/>
      <c r="C19" s="497"/>
      <c r="D19" s="497"/>
      <c r="E19" s="497"/>
      <c r="F19" s="497"/>
      <c r="G19" s="497"/>
      <c r="H19" s="497"/>
      <c r="I19" s="497"/>
    </row>
    <row r="20" spans="1:9" ht="21.75">
      <c r="A20" s="462" t="s">
        <v>3</v>
      </c>
      <c r="B20" s="463"/>
      <c r="C20" s="463"/>
      <c r="D20" s="463"/>
      <c r="E20" s="464"/>
      <c r="F20" s="357" t="s">
        <v>303</v>
      </c>
      <c r="G20" s="357" t="s">
        <v>284</v>
      </c>
      <c r="H20" s="357" t="s">
        <v>104</v>
      </c>
      <c r="I20" s="357" t="s">
        <v>102</v>
      </c>
    </row>
    <row r="21" spans="1:9" ht="21.75">
      <c r="A21" s="360" t="s">
        <v>304</v>
      </c>
      <c r="B21" s="362"/>
      <c r="C21" s="362"/>
      <c r="D21" s="362"/>
      <c r="E21" s="361"/>
      <c r="F21" s="363">
        <v>143640</v>
      </c>
      <c r="G21" s="363">
        <v>0</v>
      </c>
      <c r="H21" s="363">
        <v>143640</v>
      </c>
      <c r="I21" s="363">
        <f>F21-H21</f>
        <v>0</v>
      </c>
    </row>
    <row r="22" spans="1:9" ht="21.75">
      <c r="A22" s="360"/>
      <c r="B22" s="362"/>
      <c r="C22" s="362"/>
      <c r="D22" s="362"/>
      <c r="E22" s="361"/>
      <c r="F22" s="363"/>
      <c r="G22" s="363"/>
      <c r="H22" s="363"/>
      <c r="I22" s="363"/>
    </row>
    <row r="23" spans="1:9" ht="21.75">
      <c r="A23" s="360"/>
      <c r="B23" s="362"/>
      <c r="C23" s="362"/>
      <c r="D23" s="362"/>
      <c r="E23" s="361"/>
      <c r="F23" s="363"/>
      <c r="G23" s="363"/>
      <c r="H23" s="363"/>
      <c r="I23" s="363"/>
    </row>
    <row r="24" spans="1:9" ht="21.75">
      <c r="A24" s="360"/>
      <c r="B24" s="362"/>
      <c r="C24" s="362"/>
      <c r="D24" s="362"/>
      <c r="E24" s="361"/>
      <c r="F24" s="363"/>
      <c r="G24" s="363"/>
      <c r="H24" s="363"/>
      <c r="I24" s="363"/>
    </row>
    <row r="25" spans="1:9" ht="21.75">
      <c r="A25" s="360"/>
      <c r="B25" s="362"/>
      <c r="C25" s="362"/>
      <c r="D25" s="362"/>
      <c r="E25" s="361"/>
      <c r="F25" s="363"/>
      <c r="G25" s="363"/>
      <c r="H25" s="363"/>
      <c r="I25" s="363"/>
    </row>
    <row r="26" spans="1:9" ht="21.75">
      <c r="A26" s="360"/>
      <c r="B26" s="362"/>
      <c r="C26" s="362"/>
      <c r="D26" s="362"/>
      <c r="E26" s="361"/>
      <c r="F26" s="363"/>
      <c r="G26" s="363"/>
      <c r="H26" s="363"/>
      <c r="I26" s="363"/>
    </row>
    <row r="27" spans="1:9" ht="21.75">
      <c r="A27" s="360"/>
      <c r="B27" s="362"/>
      <c r="C27" s="362"/>
      <c r="D27" s="362"/>
      <c r="E27" s="361"/>
      <c r="F27" s="363"/>
      <c r="G27" s="363"/>
      <c r="H27" s="363"/>
      <c r="I27" s="363"/>
    </row>
    <row r="28" spans="6:9" ht="22.5" thickBot="1">
      <c r="F28" s="276">
        <f>F21+F22+F23+F24+F25+F26+F27</f>
        <v>143640</v>
      </c>
      <c r="G28" s="380">
        <f>G21+G22+G23+G24+G25+G26+G27</f>
        <v>0</v>
      </c>
      <c r="H28" s="276">
        <f>H21+H22+H23+H24+H25+H26+H27</f>
        <v>143640</v>
      </c>
      <c r="I28" s="381">
        <f>I21+I22+I23+I24+I25+I26+I27</f>
        <v>0</v>
      </c>
    </row>
    <row r="29" spans="1:5" ht="22.5" thickTop="1">
      <c r="A29" s="22"/>
      <c r="B29" s="22"/>
      <c r="C29" s="22"/>
      <c r="D29" s="22"/>
      <c r="E29" s="22"/>
    </row>
    <row r="30" spans="1:5" ht="21.75">
      <c r="A30" s="22"/>
      <c r="B30" s="22"/>
      <c r="C30" s="22"/>
      <c r="D30" s="22"/>
      <c r="E30" s="22"/>
    </row>
    <row r="34" spans="1:9" ht="29.25">
      <c r="A34" s="496" t="s">
        <v>287</v>
      </c>
      <c r="B34" s="496"/>
      <c r="C34" s="496"/>
      <c r="D34" s="496"/>
      <c r="E34" s="496"/>
      <c r="F34" s="496"/>
      <c r="G34" s="496"/>
      <c r="H34" s="496"/>
      <c r="I34" s="496"/>
    </row>
    <row r="35" spans="1:9" ht="23.25">
      <c r="A35" s="500" t="s">
        <v>382</v>
      </c>
      <c r="B35" s="500"/>
      <c r="C35" s="500"/>
      <c r="D35" s="500"/>
      <c r="E35" s="500"/>
      <c r="F35" s="500"/>
      <c r="G35" s="500"/>
      <c r="H35" s="500"/>
      <c r="I35" s="500"/>
    </row>
    <row r="36" spans="1:9" ht="21.75">
      <c r="A36" s="462" t="s">
        <v>3</v>
      </c>
      <c r="B36" s="463"/>
      <c r="C36" s="463"/>
      <c r="D36" s="463"/>
      <c r="E36" s="464"/>
      <c r="F36" s="357" t="s">
        <v>303</v>
      </c>
      <c r="G36" s="357" t="s">
        <v>284</v>
      </c>
      <c r="H36" s="357" t="s">
        <v>104</v>
      </c>
      <c r="I36" s="357" t="s">
        <v>102</v>
      </c>
    </row>
    <row r="37" spans="1:9" ht="21.75">
      <c r="A37" s="498" t="s">
        <v>48</v>
      </c>
      <c r="B37" s="499"/>
      <c r="C37" s="499"/>
      <c r="D37" s="499"/>
      <c r="E37" s="499"/>
      <c r="F37" s="22"/>
      <c r="G37" s="22"/>
      <c r="H37" s="22"/>
      <c r="I37" s="361"/>
    </row>
    <row r="38" spans="1:9" ht="21.75">
      <c r="A38" s="360" t="s">
        <v>288</v>
      </c>
      <c r="B38" s="362"/>
      <c r="C38" s="362"/>
      <c r="D38" s="362"/>
      <c r="E38" s="361"/>
      <c r="F38" s="363">
        <v>12000</v>
      </c>
      <c r="G38" s="363">
        <v>0</v>
      </c>
      <c r="H38" s="363">
        <v>12000</v>
      </c>
      <c r="I38" s="363">
        <f aca="true" t="shared" si="1" ref="I38:I44">F38-H38</f>
        <v>0</v>
      </c>
    </row>
    <row r="39" spans="1:9" ht="21.75">
      <c r="A39" s="360" t="s">
        <v>289</v>
      </c>
      <c r="B39" s="362"/>
      <c r="C39" s="362"/>
      <c r="D39" s="362"/>
      <c r="E39" s="361"/>
      <c r="F39" s="363">
        <v>10000</v>
      </c>
      <c r="G39" s="363">
        <v>0</v>
      </c>
      <c r="H39" s="363">
        <v>10000</v>
      </c>
      <c r="I39" s="363">
        <f t="shared" si="1"/>
        <v>0</v>
      </c>
    </row>
    <row r="40" spans="1:9" ht="21.75">
      <c r="A40" s="360" t="s">
        <v>290</v>
      </c>
      <c r="B40" s="362"/>
      <c r="C40" s="362"/>
      <c r="D40" s="362"/>
      <c r="E40" s="361"/>
      <c r="F40" s="363">
        <v>16000</v>
      </c>
      <c r="G40" s="363">
        <v>0</v>
      </c>
      <c r="H40" s="363">
        <v>16000</v>
      </c>
      <c r="I40" s="363">
        <f t="shared" si="1"/>
        <v>0</v>
      </c>
    </row>
    <row r="41" spans="1:9" ht="21.75">
      <c r="A41" s="360" t="s">
        <v>291</v>
      </c>
      <c r="B41" s="362"/>
      <c r="C41" s="362"/>
      <c r="D41" s="362"/>
      <c r="E41" s="361"/>
      <c r="F41" s="363">
        <v>38000</v>
      </c>
      <c r="G41" s="363">
        <v>0</v>
      </c>
      <c r="H41" s="363">
        <v>38000</v>
      </c>
      <c r="I41" s="363">
        <f t="shared" si="1"/>
        <v>0</v>
      </c>
    </row>
    <row r="42" spans="1:9" ht="21.75">
      <c r="A42" s="360" t="s">
        <v>292</v>
      </c>
      <c r="B42" s="362"/>
      <c r="C42" s="362"/>
      <c r="D42" s="362"/>
      <c r="E42" s="361"/>
      <c r="F42" s="363">
        <v>22897.2</v>
      </c>
      <c r="G42" s="363">
        <v>0</v>
      </c>
      <c r="H42" s="363">
        <v>22897.2</v>
      </c>
      <c r="I42" s="363">
        <f t="shared" si="1"/>
        <v>0</v>
      </c>
    </row>
    <row r="43" spans="1:9" ht="21.75">
      <c r="A43" s="360" t="s">
        <v>293</v>
      </c>
      <c r="B43" s="362"/>
      <c r="C43" s="362"/>
      <c r="D43" s="362"/>
      <c r="E43" s="361"/>
      <c r="F43" s="363">
        <v>18300</v>
      </c>
      <c r="G43" s="363">
        <v>0</v>
      </c>
      <c r="H43" s="363">
        <v>18300</v>
      </c>
      <c r="I43" s="363">
        <f t="shared" si="1"/>
        <v>0</v>
      </c>
    </row>
    <row r="44" spans="1:9" ht="21.75">
      <c r="A44" s="360" t="s">
        <v>294</v>
      </c>
      <c r="B44" s="362"/>
      <c r="C44" s="362"/>
      <c r="D44" s="362"/>
      <c r="E44" s="361"/>
      <c r="F44" s="363">
        <v>8700</v>
      </c>
      <c r="G44" s="363">
        <v>0</v>
      </c>
      <c r="H44" s="363">
        <v>8700</v>
      </c>
      <c r="I44" s="363">
        <f t="shared" si="1"/>
        <v>0</v>
      </c>
    </row>
    <row r="45" spans="1:9" ht="21.75">
      <c r="A45" s="498" t="s">
        <v>49</v>
      </c>
      <c r="B45" s="499"/>
      <c r="C45" s="499"/>
      <c r="D45" s="499"/>
      <c r="E45" s="499"/>
      <c r="F45" s="17"/>
      <c r="G45" s="17"/>
      <c r="H45" s="17"/>
      <c r="I45" s="393"/>
    </row>
    <row r="46" spans="1:9" ht="21.75">
      <c r="A46" s="360" t="s">
        <v>295</v>
      </c>
      <c r="B46" s="362"/>
      <c r="C46" s="362"/>
      <c r="D46" s="362"/>
      <c r="E46" s="361"/>
      <c r="F46" s="363">
        <v>364968.42</v>
      </c>
      <c r="G46" s="363">
        <v>0</v>
      </c>
      <c r="H46" s="363">
        <v>364968.42</v>
      </c>
      <c r="I46" s="363">
        <f>F46-H46</f>
        <v>0</v>
      </c>
    </row>
    <row r="47" spans="6:9" ht="22.5" thickBot="1">
      <c r="F47" s="276">
        <f>F38+F39+F40+F41+F42+F43+F44+F46</f>
        <v>490865.62</v>
      </c>
      <c r="G47" s="380">
        <f>G38+G39+G40+G41+G42+G43+G44+G46</f>
        <v>0</v>
      </c>
      <c r="H47" s="276">
        <f>H38+H39+H40+H41+H42+H43+H44+H46</f>
        <v>490865.62</v>
      </c>
      <c r="I47" s="381">
        <f>I38+I39+I40+I41+I42+I43+I44+I46</f>
        <v>0</v>
      </c>
    </row>
    <row r="48" ht="22.5" thickTop="1"/>
    <row r="51" spans="1:9" ht="29.25">
      <c r="A51" s="496" t="s">
        <v>302</v>
      </c>
      <c r="B51" s="496"/>
      <c r="C51" s="496"/>
      <c r="D51" s="496"/>
      <c r="E51" s="496"/>
      <c r="F51" s="496"/>
      <c r="G51" s="496"/>
      <c r="H51" s="496"/>
      <c r="I51" s="496"/>
    </row>
    <row r="52" spans="1:9" ht="23.25">
      <c r="A52" s="497" t="s">
        <v>383</v>
      </c>
      <c r="B52" s="497"/>
      <c r="C52" s="497"/>
      <c r="D52" s="497"/>
      <c r="E52" s="497"/>
      <c r="F52" s="497"/>
      <c r="G52" s="497"/>
      <c r="H52" s="497"/>
      <c r="I52" s="497"/>
    </row>
    <row r="53" spans="1:9" ht="21.75">
      <c r="A53" s="462" t="s">
        <v>3</v>
      </c>
      <c r="B53" s="463"/>
      <c r="C53" s="463"/>
      <c r="D53" s="463"/>
      <c r="E53" s="464"/>
      <c r="F53" s="357" t="s">
        <v>303</v>
      </c>
      <c r="G53" s="357" t="s">
        <v>284</v>
      </c>
      <c r="H53" s="357" t="s">
        <v>104</v>
      </c>
      <c r="I53" s="357" t="s">
        <v>102</v>
      </c>
    </row>
    <row r="54" spans="1:9" ht="21.75">
      <c r="A54" s="360" t="s">
        <v>304</v>
      </c>
      <c r="B54" s="362"/>
      <c r="C54" s="362"/>
      <c r="D54" s="362"/>
      <c r="E54" s="361"/>
      <c r="F54" s="363">
        <v>143640</v>
      </c>
      <c r="G54" s="363">
        <v>0</v>
      </c>
      <c r="H54" s="363">
        <v>143640</v>
      </c>
      <c r="I54" s="363">
        <f>F54-H54</f>
        <v>0</v>
      </c>
    </row>
    <row r="55" spans="1:9" ht="21.75">
      <c r="A55" s="360"/>
      <c r="B55" s="362"/>
      <c r="C55" s="362"/>
      <c r="D55" s="362"/>
      <c r="E55" s="361"/>
      <c r="F55" s="363"/>
      <c r="G55" s="363"/>
      <c r="H55" s="363"/>
      <c r="I55" s="363"/>
    </row>
    <row r="56" spans="1:9" ht="21.75">
      <c r="A56" s="360"/>
      <c r="B56" s="362"/>
      <c r="C56" s="362"/>
      <c r="D56" s="362"/>
      <c r="E56" s="361"/>
      <c r="F56" s="363"/>
      <c r="G56" s="363"/>
      <c r="H56" s="363"/>
      <c r="I56" s="363"/>
    </row>
    <row r="57" spans="1:9" ht="21.75">
      <c r="A57" s="360"/>
      <c r="B57" s="362"/>
      <c r="C57" s="362"/>
      <c r="D57" s="362"/>
      <c r="E57" s="361"/>
      <c r="F57" s="363"/>
      <c r="G57" s="363"/>
      <c r="H57" s="363"/>
      <c r="I57" s="363"/>
    </row>
    <row r="58" spans="1:9" ht="21.75">
      <c r="A58" s="360"/>
      <c r="B58" s="362"/>
      <c r="C58" s="362"/>
      <c r="D58" s="362"/>
      <c r="E58" s="361"/>
      <c r="F58" s="363"/>
      <c r="G58" s="363"/>
      <c r="H58" s="363"/>
      <c r="I58" s="363"/>
    </row>
    <row r="59" spans="1:9" ht="21.75">
      <c r="A59" s="360"/>
      <c r="B59" s="362"/>
      <c r="C59" s="362"/>
      <c r="D59" s="362"/>
      <c r="E59" s="361"/>
      <c r="F59" s="363"/>
      <c r="G59" s="363"/>
      <c r="H59" s="363"/>
      <c r="I59" s="363"/>
    </row>
    <row r="60" spans="1:9" ht="21.75">
      <c r="A60" s="360"/>
      <c r="B60" s="362"/>
      <c r="C60" s="362"/>
      <c r="D60" s="362"/>
      <c r="E60" s="361"/>
      <c r="F60" s="363"/>
      <c r="G60" s="363"/>
      <c r="H60" s="363"/>
      <c r="I60" s="363"/>
    </row>
    <row r="61" spans="6:9" ht="22.5" thickBot="1">
      <c r="F61" s="276">
        <f>F54+F55+F56+F57+F58+F59+F60</f>
        <v>143640</v>
      </c>
      <c r="G61" s="380">
        <f>G54+G55+G56+G57+G58+G59+G60</f>
        <v>0</v>
      </c>
      <c r="H61" s="276">
        <f>H54+H55+H56+H57+H58+H59+H60</f>
        <v>143640</v>
      </c>
      <c r="I61" s="381">
        <f>I54+I55+I56+I57+I58+I59+I60</f>
        <v>0</v>
      </c>
    </row>
    <row r="62" spans="1:5" ht="22.5" thickTop="1">
      <c r="A62" s="22"/>
      <c r="B62" s="22"/>
      <c r="C62" s="22"/>
      <c r="D62" s="22"/>
      <c r="E62" s="22"/>
    </row>
    <row r="63" spans="1:5" ht="21.75">
      <c r="A63" s="22"/>
      <c r="B63" s="22"/>
      <c r="C63" s="22"/>
      <c r="D63" s="22"/>
      <c r="E63" s="22"/>
    </row>
    <row r="68" spans="1:9" ht="29.25">
      <c r="A68" s="496" t="s">
        <v>287</v>
      </c>
      <c r="B68" s="496"/>
      <c r="C68" s="496"/>
      <c r="D68" s="496"/>
      <c r="E68" s="496"/>
      <c r="F68" s="496"/>
      <c r="G68" s="496"/>
      <c r="H68" s="496"/>
      <c r="I68" s="496"/>
    </row>
    <row r="69" spans="1:9" ht="23.25">
      <c r="A69" s="500" t="s">
        <v>368</v>
      </c>
      <c r="B69" s="500"/>
      <c r="C69" s="500"/>
      <c r="D69" s="500"/>
      <c r="E69" s="500"/>
      <c r="F69" s="500"/>
      <c r="G69" s="500"/>
      <c r="H69" s="500"/>
      <c r="I69" s="500"/>
    </row>
    <row r="70" spans="1:9" ht="21.75">
      <c r="A70" s="462" t="s">
        <v>3</v>
      </c>
      <c r="B70" s="463"/>
      <c r="C70" s="463"/>
      <c r="D70" s="463"/>
      <c r="E70" s="464"/>
      <c r="F70" s="357" t="s">
        <v>303</v>
      </c>
      <c r="G70" s="357" t="s">
        <v>284</v>
      </c>
      <c r="H70" s="357" t="s">
        <v>104</v>
      </c>
      <c r="I70" s="357" t="s">
        <v>102</v>
      </c>
    </row>
    <row r="71" spans="1:9" ht="21.75">
      <c r="A71" s="498" t="s">
        <v>48</v>
      </c>
      <c r="B71" s="499"/>
      <c r="C71" s="499"/>
      <c r="D71" s="499"/>
      <c r="E71" s="499"/>
      <c r="F71" s="22"/>
      <c r="G71" s="22"/>
      <c r="H71" s="22"/>
      <c r="I71" s="361"/>
    </row>
    <row r="72" spans="1:9" ht="21.75">
      <c r="A72" s="360" t="s">
        <v>288</v>
      </c>
      <c r="B72" s="362"/>
      <c r="C72" s="362"/>
      <c r="D72" s="362"/>
      <c r="E72" s="361"/>
      <c r="F72" s="363">
        <v>12000</v>
      </c>
      <c r="G72" s="363">
        <v>0</v>
      </c>
      <c r="H72" s="363">
        <v>12000</v>
      </c>
      <c r="I72" s="363">
        <f aca="true" t="shared" si="2" ref="I72:I78">F72-H72</f>
        <v>0</v>
      </c>
    </row>
    <row r="73" spans="1:9" ht="21.75">
      <c r="A73" s="360" t="s">
        <v>289</v>
      </c>
      <c r="B73" s="362"/>
      <c r="C73" s="362"/>
      <c r="D73" s="362"/>
      <c r="E73" s="361"/>
      <c r="F73" s="363">
        <v>10000</v>
      </c>
      <c r="G73" s="363">
        <v>0</v>
      </c>
      <c r="H73" s="363">
        <v>10000</v>
      </c>
      <c r="I73" s="363">
        <f t="shared" si="2"/>
        <v>0</v>
      </c>
    </row>
    <row r="74" spans="1:9" ht="21.75">
      <c r="A74" s="360" t="s">
        <v>290</v>
      </c>
      <c r="B74" s="362"/>
      <c r="C74" s="362"/>
      <c r="D74" s="362"/>
      <c r="E74" s="361"/>
      <c r="F74" s="363">
        <v>16000</v>
      </c>
      <c r="G74" s="363">
        <v>0</v>
      </c>
      <c r="H74" s="363">
        <v>16000</v>
      </c>
      <c r="I74" s="363">
        <f t="shared" si="2"/>
        <v>0</v>
      </c>
    </row>
    <row r="75" spans="1:9" ht="21.75">
      <c r="A75" s="360" t="s">
        <v>291</v>
      </c>
      <c r="B75" s="362"/>
      <c r="C75" s="362"/>
      <c r="D75" s="362"/>
      <c r="E75" s="361"/>
      <c r="F75" s="363">
        <v>38000</v>
      </c>
      <c r="G75" s="363">
        <v>0</v>
      </c>
      <c r="H75" s="363">
        <v>38000</v>
      </c>
      <c r="I75" s="363">
        <f t="shared" si="2"/>
        <v>0</v>
      </c>
    </row>
    <row r="76" spans="1:9" ht="21.75">
      <c r="A76" s="360" t="s">
        <v>292</v>
      </c>
      <c r="B76" s="362"/>
      <c r="C76" s="362"/>
      <c r="D76" s="362"/>
      <c r="E76" s="361"/>
      <c r="F76" s="363">
        <v>22897.2</v>
      </c>
      <c r="G76" s="363">
        <v>22897.2</v>
      </c>
      <c r="H76" s="363">
        <f>G76</f>
        <v>22897.2</v>
      </c>
      <c r="I76" s="363">
        <f t="shared" si="2"/>
        <v>0</v>
      </c>
    </row>
    <row r="77" spans="1:9" ht="21.75">
      <c r="A77" s="360" t="s">
        <v>293</v>
      </c>
      <c r="B77" s="362"/>
      <c r="C77" s="362"/>
      <c r="D77" s="362"/>
      <c r="E77" s="361"/>
      <c r="F77" s="363">
        <v>18300</v>
      </c>
      <c r="G77" s="363">
        <v>0</v>
      </c>
      <c r="H77" s="363">
        <v>18300</v>
      </c>
      <c r="I77" s="363">
        <f t="shared" si="2"/>
        <v>0</v>
      </c>
    </row>
    <row r="78" spans="1:9" ht="21.75">
      <c r="A78" s="360" t="s">
        <v>294</v>
      </c>
      <c r="B78" s="362"/>
      <c r="C78" s="362"/>
      <c r="D78" s="362"/>
      <c r="E78" s="361"/>
      <c r="F78" s="363">
        <v>8700</v>
      </c>
      <c r="G78" s="363">
        <v>0</v>
      </c>
      <c r="H78" s="363">
        <v>8700</v>
      </c>
      <c r="I78" s="363">
        <f t="shared" si="2"/>
        <v>0</v>
      </c>
    </row>
    <row r="79" spans="1:9" ht="21.75">
      <c r="A79" s="498" t="s">
        <v>49</v>
      </c>
      <c r="B79" s="499"/>
      <c r="C79" s="499"/>
      <c r="D79" s="499"/>
      <c r="E79" s="499"/>
      <c r="F79" s="17"/>
      <c r="G79" s="17"/>
      <c r="H79" s="17"/>
      <c r="I79" s="393"/>
    </row>
    <row r="80" spans="1:9" ht="21.75">
      <c r="A80" s="360" t="s">
        <v>295</v>
      </c>
      <c r="B80" s="362"/>
      <c r="C80" s="362"/>
      <c r="D80" s="362"/>
      <c r="E80" s="361"/>
      <c r="F80" s="363">
        <v>364968.42</v>
      </c>
      <c r="G80" s="363">
        <v>0</v>
      </c>
      <c r="H80" s="363">
        <v>364968.42</v>
      </c>
      <c r="I80" s="363">
        <f>F80-H80</f>
        <v>0</v>
      </c>
    </row>
    <row r="81" spans="6:9" ht="22.5" thickBot="1">
      <c r="F81" s="276">
        <f>F72+F73+F74+F75+F76+F77+F78+F80</f>
        <v>490865.62</v>
      </c>
      <c r="G81" s="380">
        <f>G72+G73+G74+G75+G76+G77+G78+G80</f>
        <v>22897.2</v>
      </c>
      <c r="H81" s="276">
        <f>H72+H73+H74+H75+H76+H77+H78+H80</f>
        <v>490865.62</v>
      </c>
      <c r="I81" s="381">
        <f>I72+I73+I74+I75+I76+I77+I78+I80</f>
        <v>0</v>
      </c>
    </row>
    <row r="82" ht="22.5" thickTop="1"/>
    <row r="85" spans="1:9" ht="29.25">
      <c r="A85" s="496" t="s">
        <v>302</v>
      </c>
      <c r="B85" s="496"/>
      <c r="C85" s="496"/>
      <c r="D85" s="496"/>
      <c r="E85" s="496"/>
      <c r="F85" s="496"/>
      <c r="G85" s="496"/>
      <c r="H85" s="496"/>
      <c r="I85" s="496"/>
    </row>
    <row r="86" spans="1:9" ht="23.25">
      <c r="A86" s="497" t="s">
        <v>369</v>
      </c>
      <c r="B86" s="497"/>
      <c r="C86" s="497"/>
      <c r="D86" s="497"/>
      <c r="E86" s="497"/>
      <c r="F86" s="497"/>
      <c r="G86" s="497"/>
      <c r="H86" s="497"/>
      <c r="I86" s="497"/>
    </row>
    <row r="87" spans="1:9" ht="21.75">
      <c r="A87" s="462" t="s">
        <v>3</v>
      </c>
      <c r="B87" s="463"/>
      <c r="C87" s="463"/>
      <c r="D87" s="463"/>
      <c r="E87" s="464"/>
      <c r="F87" s="357" t="s">
        <v>303</v>
      </c>
      <c r="G87" s="357" t="s">
        <v>284</v>
      </c>
      <c r="H87" s="357" t="s">
        <v>104</v>
      </c>
      <c r="I87" s="357" t="s">
        <v>102</v>
      </c>
    </row>
    <row r="88" spans="1:9" ht="21.75">
      <c r="A88" s="360" t="s">
        <v>304</v>
      </c>
      <c r="B88" s="362"/>
      <c r="C88" s="362"/>
      <c r="D88" s="362"/>
      <c r="E88" s="361"/>
      <c r="F88" s="363">
        <v>143640</v>
      </c>
      <c r="G88" s="363">
        <v>0</v>
      </c>
      <c r="H88" s="363">
        <v>143640</v>
      </c>
      <c r="I88" s="363">
        <f>F88-H88</f>
        <v>0</v>
      </c>
    </row>
    <row r="89" spans="1:9" ht="21.75">
      <c r="A89" s="360"/>
      <c r="B89" s="362"/>
      <c r="C89" s="362"/>
      <c r="D89" s="362"/>
      <c r="E89" s="361"/>
      <c r="F89" s="363"/>
      <c r="G89" s="363"/>
      <c r="H89" s="363"/>
      <c r="I89" s="363"/>
    </row>
    <row r="90" spans="1:9" ht="21.75">
      <c r="A90" s="360"/>
      <c r="B90" s="362"/>
      <c r="C90" s="362"/>
      <c r="D90" s="362"/>
      <c r="E90" s="361"/>
      <c r="F90" s="363"/>
      <c r="G90" s="363"/>
      <c r="H90" s="363"/>
      <c r="I90" s="363"/>
    </row>
    <row r="91" spans="1:9" ht="21.75">
      <c r="A91" s="360"/>
      <c r="B91" s="362"/>
      <c r="C91" s="362"/>
      <c r="D91" s="362"/>
      <c r="E91" s="361"/>
      <c r="F91" s="363"/>
      <c r="G91" s="363"/>
      <c r="H91" s="363"/>
      <c r="I91" s="363"/>
    </row>
    <row r="92" spans="1:9" ht="21.75">
      <c r="A92" s="360"/>
      <c r="B92" s="362"/>
      <c r="C92" s="362"/>
      <c r="D92" s="362"/>
      <c r="E92" s="361"/>
      <c r="F92" s="363"/>
      <c r="G92" s="363"/>
      <c r="H92" s="363"/>
      <c r="I92" s="363"/>
    </row>
    <row r="93" spans="1:9" ht="21.75">
      <c r="A93" s="360"/>
      <c r="B93" s="362"/>
      <c r="C93" s="362"/>
      <c r="D93" s="362"/>
      <c r="E93" s="361"/>
      <c r="F93" s="363"/>
      <c r="G93" s="363"/>
      <c r="H93" s="363"/>
      <c r="I93" s="363"/>
    </row>
    <row r="94" spans="1:9" ht="21.75">
      <c r="A94" s="360"/>
      <c r="B94" s="362"/>
      <c r="C94" s="362"/>
      <c r="D94" s="362"/>
      <c r="E94" s="361"/>
      <c r="F94" s="363"/>
      <c r="G94" s="363"/>
      <c r="H94" s="363"/>
      <c r="I94" s="363"/>
    </row>
    <row r="95" spans="6:9" ht="22.5" thickBot="1">
      <c r="F95" s="276">
        <f>F88+F89+F90+F91+F92+F93+F94</f>
        <v>143640</v>
      </c>
      <c r="G95" s="380">
        <f>G88+G89+G90+G91+G92+G93+G94</f>
        <v>0</v>
      </c>
      <c r="H95" s="276">
        <f>H88+H89+H90+H91+H92+H93+H94</f>
        <v>143640</v>
      </c>
      <c r="I95" s="381">
        <f>I88+I89+I90+I91+I92+I93+I94</f>
        <v>0</v>
      </c>
    </row>
    <row r="96" spans="1:5" ht="22.5" thickTop="1">
      <c r="A96" s="22"/>
      <c r="B96" s="22"/>
      <c r="C96" s="22"/>
      <c r="D96" s="22"/>
      <c r="E96" s="22"/>
    </row>
    <row r="97" spans="1:5" ht="21.75">
      <c r="A97" s="22"/>
      <c r="B97" s="22"/>
      <c r="C97" s="22"/>
      <c r="D97" s="22"/>
      <c r="E97" s="22"/>
    </row>
    <row r="102" spans="1:10" ht="24.75" customHeight="1">
      <c r="A102" s="496" t="s">
        <v>287</v>
      </c>
      <c r="B102" s="496"/>
      <c r="C102" s="496"/>
      <c r="D102" s="496"/>
      <c r="E102" s="496"/>
      <c r="F102" s="496"/>
      <c r="G102" s="496"/>
      <c r="H102" s="496"/>
      <c r="I102" s="496"/>
      <c r="J102" s="364"/>
    </row>
    <row r="103" spans="1:10" ht="23.25">
      <c r="A103" s="500" t="s">
        <v>350</v>
      </c>
      <c r="B103" s="500"/>
      <c r="C103" s="500"/>
      <c r="D103" s="500"/>
      <c r="E103" s="500"/>
      <c r="F103" s="500"/>
      <c r="G103" s="500"/>
      <c r="H103" s="500"/>
      <c r="I103" s="500"/>
      <c r="J103" s="369"/>
    </row>
    <row r="104" spans="1:9" ht="21.75">
      <c r="A104" s="462" t="s">
        <v>3</v>
      </c>
      <c r="B104" s="463"/>
      <c r="C104" s="463"/>
      <c r="D104" s="463"/>
      <c r="E104" s="464"/>
      <c r="F104" s="357" t="s">
        <v>303</v>
      </c>
      <c r="G104" s="357" t="s">
        <v>284</v>
      </c>
      <c r="H104" s="357" t="s">
        <v>104</v>
      </c>
      <c r="I104" s="357" t="s">
        <v>102</v>
      </c>
    </row>
    <row r="105" spans="1:9" ht="21.75">
      <c r="A105" s="498" t="s">
        <v>48</v>
      </c>
      <c r="B105" s="499"/>
      <c r="C105" s="499"/>
      <c r="D105" s="499"/>
      <c r="E105" s="499"/>
      <c r="F105" s="22"/>
      <c r="G105" s="22"/>
      <c r="H105" s="22"/>
      <c r="I105" s="361"/>
    </row>
    <row r="106" spans="1:9" ht="21.75">
      <c r="A106" s="360" t="s">
        <v>288</v>
      </c>
      <c r="B106" s="362"/>
      <c r="C106" s="362"/>
      <c r="D106" s="362"/>
      <c r="E106" s="361"/>
      <c r="F106" s="363">
        <v>12000</v>
      </c>
      <c r="G106" s="363">
        <v>0</v>
      </c>
      <c r="H106" s="363">
        <v>12000</v>
      </c>
      <c r="I106" s="363">
        <f aca="true" t="shared" si="3" ref="I106:I112">F106-H106</f>
        <v>0</v>
      </c>
    </row>
    <row r="107" spans="1:12" ht="21.75">
      <c r="A107" s="360" t="s">
        <v>289</v>
      </c>
      <c r="B107" s="362"/>
      <c r="C107" s="362"/>
      <c r="D107" s="362"/>
      <c r="E107" s="361"/>
      <c r="F107" s="363">
        <v>10000</v>
      </c>
      <c r="G107" s="363">
        <v>0</v>
      </c>
      <c r="H107" s="363">
        <v>10000</v>
      </c>
      <c r="I107" s="363">
        <f t="shared" si="3"/>
        <v>0</v>
      </c>
      <c r="L107" s="1"/>
    </row>
    <row r="108" spans="1:9" ht="21.75">
      <c r="A108" s="360" t="s">
        <v>290</v>
      </c>
      <c r="B108" s="362"/>
      <c r="C108" s="362"/>
      <c r="D108" s="362"/>
      <c r="E108" s="361"/>
      <c r="F108" s="363">
        <v>16000</v>
      </c>
      <c r="G108" s="363">
        <v>0</v>
      </c>
      <c r="H108" s="363">
        <v>16000</v>
      </c>
      <c r="I108" s="363">
        <f t="shared" si="3"/>
        <v>0</v>
      </c>
    </row>
    <row r="109" spans="1:9" ht="21.75">
      <c r="A109" s="360" t="s">
        <v>291</v>
      </c>
      <c r="B109" s="362"/>
      <c r="C109" s="362"/>
      <c r="D109" s="362"/>
      <c r="E109" s="361"/>
      <c r="F109" s="363">
        <v>38000</v>
      </c>
      <c r="G109" s="363">
        <v>38000</v>
      </c>
      <c r="H109" s="363">
        <v>38000</v>
      </c>
      <c r="I109" s="363">
        <f t="shared" si="3"/>
        <v>0</v>
      </c>
    </row>
    <row r="110" spans="1:9" ht="21.75">
      <c r="A110" s="360" t="s">
        <v>292</v>
      </c>
      <c r="B110" s="362"/>
      <c r="C110" s="362"/>
      <c r="D110" s="362"/>
      <c r="E110" s="361"/>
      <c r="F110" s="363">
        <v>22897.2</v>
      </c>
      <c r="G110" s="363">
        <v>0</v>
      </c>
      <c r="H110" s="363">
        <v>0</v>
      </c>
      <c r="I110" s="363">
        <f t="shared" si="3"/>
        <v>22897.2</v>
      </c>
    </row>
    <row r="111" spans="1:9" ht="21.75">
      <c r="A111" s="360" t="s">
        <v>293</v>
      </c>
      <c r="B111" s="362"/>
      <c r="C111" s="362"/>
      <c r="D111" s="362"/>
      <c r="E111" s="361"/>
      <c r="F111" s="363">
        <v>18300</v>
      </c>
      <c r="G111" s="363">
        <v>0</v>
      </c>
      <c r="H111" s="363">
        <v>18300</v>
      </c>
      <c r="I111" s="363">
        <f t="shared" si="3"/>
        <v>0</v>
      </c>
    </row>
    <row r="112" spans="1:9" ht="21.75">
      <c r="A112" s="360" t="s">
        <v>294</v>
      </c>
      <c r="B112" s="362"/>
      <c r="C112" s="362"/>
      <c r="D112" s="362"/>
      <c r="E112" s="361"/>
      <c r="F112" s="363">
        <v>8700</v>
      </c>
      <c r="G112" s="363">
        <v>0</v>
      </c>
      <c r="H112" s="363">
        <v>8700</v>
      </c>
      <c r="I112" s="363">
        <f t="shared" si="3"/>
        <v>0</v>
      </c>
    </row>
    <row r="113" spans="1:9" ht="21.75">
      <c r="A113" s="498" t="s">
        <v>49</v>
      </c>
      <c r="B113" s="499"/>
      <c r="C113" s="499"/>
      <c r="D113" s="499"/>
      <c r="E113" s="499"/>
      <c r="F113" s="17"/>
      <c r="G113" s="17"/>
      <c r="H113" s="17"/>
      <c r="I113" s="393"/>
    </row>
    <row r="114" spans="1:9" ht="21.75">
      <c r="A114" s="360" t="s">
        <v>295</v>
      </c>
      <c r="B114" s="362"/>
      <c r="C114" s="362"/>
      <c r="D114" s="362"/>
      <c r="E114" s="361"/>
      <c r="F114" s="363">
        <v>364968.42</v>
      </c>
      <c r="G114" s="363">
        <v>0</v>
      </c>
      <c r="H114" s="363">
        <v>364968.42</v>
      </c>
      <c r="I114" s="363">
        <f>F114-H114</f>
        <v>0</v>
      </c>
    </row>
    <row r="115" spans="6:9" ht="22.5" thickBot="1">
      <c r="F115" s="276">
        <f>F106+F107+F108+F109+F110+F111+F112+F114</f>
        <v>490865.62</v>
      </c>
      <c r="G115" s="380">
        <f>G106+G107+G108+G109+G110+G111+G112+G114</f>
        <v>38000</v>
      </c>
      <c r="H115" s="276">
        <f>H106+H107+H108+H109+H110+H111+H112+H114</f>
        <v>467968.42</v>
      </c>
      <c r="I115" s="381">
        <f>I106+I107+I108+I109+I110+I111+I112+I114</f>
        <v>22897.2</v>
      </c>
    </row>
    <row r="116" ht="22.5" thickTop="1"/>
    <row r="119" spans="1:9" ht="25.5" customHeight="1">
      <c r="A119" s="496" t="s">
        <v>302</v>
      </c>
      <c r="B119" s="496"/>
      <c r="C119" s="496"/>
      <c r="D119" s="496"/>
      <c r="E119" s="496"/>
      <c r="F119" s="496"/>
      <c r="G119" s="496"/>
      <c r="H119" s="496"/>
      <c r="I119" s="496"/>
    </row>
    <row r="120" spans="1:9" ht="23.25">
      <c r="A120" s="497" t="s">
        <v>351</v>
      </c>
      <c r="B120" s="497"/>
      <c r="C120" s="497"/>
      <c r="D120" s="497"/>
      <c r="E120" s="497"/>
      <c r="F120" s="497"/>
      <c r="G120" s="497"/>
      <c r="H120" s="497"/>
      <c r="I120" s="497"/>
    </row>
    <row r="121" spans="1:9" ht="21.75">
      <c r="A121" s="462" t="s">
        <v>3</v>
      </c>
      <c r="B121" s="463"/>
      <c r="C121" s="463"/>
      <c r="D121" s="463"/>
      <c r="E121" s="464"/>
      <c r="F121" s="357" t="s">
        <v>303</v>
      </c>
      <c r="G121" s="357" t="s">
        <v>284</v>
      </c>
      <c r="H121" s="357" t="s">
        <v>104</v>
      </c>
      <c r="I121" s="357" t="s">
        <v>102</v>
      </c>
    </row>
    <row r="122" spans="1:9" ht="21.75">
      <c r="A122" s="360" t="s">
        <v>304</v>
      </c>
      <c r="B122" s="362"/>
      <c r="C122" s="362"/>
      <c r="D122" s="362"/>
      <c r="E122" s="361"/>
      <c r="F122" s="363">
        <v>143640</v>
      </c>
      <c r="G122" s="363">
        <v>0</v>
      </c>
      <c r="H122" s="363">
        <v>143640</v>
      </c>
      <c r="I122" s="363">
        <f>F122-H122</f>
        <v>0</v>
      </c>
    </row>
    <row r="123" spans="1:9" ht="21.75">
      <c r="A123" s="360"/>
      <c r="B123" s="362"/>
      <c r="C123" s="362"/>
      <c r="D123" s="362"/>
      <c r="E123" s="361"/>
      <c r="F123" s="363"/>
      <c r="G123" s="363"/>
      <c r="H123" s="363"/>
      <c r="I123" s="363"/>
    </row>
    <row r="124" spans="1:9" ht="21.75">
      <c r="A124" s="360"/>
      <c r="B124" s="362"/>
      <c r="C124" s="362"/>
      <c r="D124" s="362"/>
      <c r="E124" s="361"/>
      <c r="F124" s="363"/>
      <c r="G124" s="363"/>
      <c r="H124" s="363"/>
      <c r="I124" s="363"/>
    </row>
    <row r="125" spans="1:9" ht="21.75">
      <c r="A125" s="360"/>
      <c r="B125" s="362"/>
      <c r="C125" s="362"/>
      <c r="D125" s="362"/>
      <c r="E125" s="361"/>
      <c r="F125" s="363"/>
      <c r="G125" s="363"/>
      <c r="H125" s="363"/>
      <c r="I125" s="363"/>
    </row>
    <row r="126" spans="1:9" ht="21.75">
      <c r="A126" s="360"/>
      <c r="B126" s="362"/>
      <c r="C126" s="362"/>
      <c r="D126" s="362"/>
      <c r="E126" s="361"/>
      <c r="F126" s="363"/>
      <c r="G126" s="363"/>
      <c r="H126" s="363"/>
      <c r="I126" s="363"/>
    </row>
    <row r="127" spans="1:9" ht="21.75">
      <c r="A127" s="360"/>
      <c r="B127" s="362"/>
      <c r="C127" s="362"/>
      <c r="D127" s="362"/>
      <c r="E127" s="361"/>
      <c r="F127" s="363"/>
      <c r="G127" s="363"/>
      <c r="H127" s="363"/>
      <c r="I127" s="363"/>
    </row>
    <row r="128" spans="1:9" ht="21.75">
      <c r="A128" s="360"/>
      <c r="B128" s="362"/>
      <c r="C128" s="362"/>
      <c r="D128" s="362"/>
      <c r="E128" s="361"/>
      <c r="F128" s="363"/>
      <c r="G128" s="363"/>
      <c r="H128" s="363"/>
      <c r="I128" s="363"/>
    </row>
    <row r="129" spans="6:9" ht="22.5" thickBot="1">
      <c r="F129" s="276">
        <f>F122+F123+F124+F125+F126+F127+F128</f>
        <v>143640</v>
      </c>
      <c r="G129" s="380">
        <f>G122+G123+G124+G125+G126+G127+G128</f>
        <v>0</v>
      </c>
      <c r="H129" s="276">
        <f>H122+H123+H124+H125+H126+H127+H128</f>
        <v>143640</v>
      </c>
      <c r="I129" s="381">
        <f>I122+I123+I124+I125+I126+I127+I128</f>
        <v>0</v>
      </c>
    </row>
    <row r="130" spans="1:5" ht="22.5" thickTop="1">
      <c r="A130" s="22"/>
      <c r="B130" s="22"/>
      <c r="C130" s="22"/>
      <c r="D130" s="22"/>
      <c r="E130" s="22"/>
    </row>
    <row r="131" spans="1:5" ht="21.75">
      <c r="A131" s="22"/>
      <c r="B131" s="22"/>
      <c r="C131" s="22"/>
      <c r="D131" s="22"/>
      <c r="E131" s="22"/>
    </row>
    <row r="136" spans="1:9" ht="29.25">
      <c r="A136" s="496" t="s">
        <v>287</v>
      </c>
      <c r="B136" s="496"/>
      <c r="C136" s="496"/>
      <c r="D136" s="496"/>
      <c r="E136" s="496"/>
      <c r="F136" s="496"/>
      <c r="G136" s="496"/>
      <c r="H136" s="496"/>
      <c r="I136" s="496"/>
    </row>
    <row r="137" spans="1:9" ht="23.25">
      <c r="A137" s="500" t="s">
        <v>348</v>
      </c>
      <c r="B137" s="500"/>
      <c r="C137" s="500"/>
      <c r="D137" s="500"/>
      <c r="E137" s="500"/>
      <c r="F137" s="500"/>
      <c r="G137" s="500"/>
      <c r="H137" s="500"/>
      <c r="I137" s="500"/>
    </row>
    <row r="138" spans="1:9" ht="21.75">
      <c r="A138" s="462" t="s">
        <v>3</v>
      </c>
      <c r="B138" s="463"/>
      <c r="C138" s="463"/>
      <c r="D138" s="463"/>
      <c r="E138" s="464"/>
      <c r="F138" s="357" t="s">
        <v>303</v>
      </c>
      <c r="G138" s="357" t="s">
        <v>284</v>
      </c>
      <c r="H138" s="357" t="s">
        <v>104</v>
      </c>
      <c r="I138" s="357" t="s">
        <v>102</v>
      </c>
    </row>
    <row r="139" spans="1:9" ht="21.75">
      <c r="A139" s="498" t="s">
        <v>48</v>
      </c>
      <c r="B139" s="499"/>
      <c r="C139" s="499"/>
      <c r="D139" s="499"/>
      <c r="E139" s="499"/>
      <c r="F139" s="22"/>
      <c r="G139" s="22"/>
      <c r="H139" s="22"/>
      <c r="I139" s="361"/>
    </row>
    <row r="140" spans="1:9" ht="21.75">
      <c r="A140" s="360" t="s">
        <v>288</v>
      </c>
      <c r="B140" s="362"/>
      <c r="C140" s="362"/>
      <c r="D140" s="362"/>
      <c r="E140" s="361"/>
      <c r="F140" s="363">
        <v>12000</v>
      </c>
      <c r="G140" s="363">
        <v>12000</v>
      </c>
      <c r="H140" s="363">
        <v>12000</v>
      </c>
      <c r="I140" s="363">
        <f aca="true" t="shared" si="4" ref="I140:I146">F140-H140</f>
        <v>0</v>
      </c>
    </row>
    <row r="141" spans="1:9" ht="21.75">
      <c r="A141" s="360" t="s">
        <v>289</v>
      </c>
      <c r="B141" s="362"/>
      <c r="C141" s="362"/>
      <c r="D141" s="362"/>
      <c r="E141" s="361"/>
      <c r="F141" s="363">
        <v>10000</v>
      </c>
      <c r="G141" s="363">
        <v>10000</v>
      </c>
      <c r="H141" s="363">
        <v>10000</v>
      </c>
      <c r="I141" s="363">
        <f t="shared" si="4"/>
        <v>0</v>
      </c>
    </row>
    <row r="142" spans="1:9" ht="21.75">
      <c r="A142" s="360" t="s">
        <v>290</v>
      </c>
      <c r="B142" s="362"/>
      <c r="C142" s="362"/>
      <c r="D142" s="362"/>
      <c r="E142" s="361"/>
      <c r="F142" s="363">
        <v>16000</v>
      </c>
      <c r="G142" s="363">
        <v>16000</v>
      </c>
      <c r="H142" s="363">
        <v>16000</v>
      </c>
      <c r="I142" s="363">
        <f t="shared" si="4"/>
        <v>0</v>
      </c>
    </row>
    <row r="143" spans="1:9" ht="21.75">
      <c r="A143" s="360" t="s">
        <v>291</v>
      </c>
      <c r="B143" s="362"/>
      <c r="C143" s="362"/>
      <c r="D143" s="362"/>
      <c r="E143" s="361"/>
      <c r="F143" s="363">
        <v>38000</v>
      </c>
      <c r="G143" s="363">
        <v>0</v>
      </c>
      <c r="H143" s="363">
        <v>0</v>
      </c>
      <c r="I143" s="363">
        <f t="shared" si="4"/>
        <v>38000</v>
      </c>
    </row>
    <row r="144" spans="1:9" ht="21.75">
      <c r="A144" s="360" t="s">
        <v>292</v>
      </c>
      <c r="B144" s="362"/>
      <c r="C144" s="362"/>
      <c r="D144" s="362"/>
      <c r="E144" s="361"/>
      <c r="F144" s="363">
        <v>22897.2</v>
      </c>
      <c r="G144" s="363">
        <v>0</v>
      </c>
      <c r="H144" s="363">
        <v>0</v>
      </c>
      <c r="I144" s="363">
        <f t="shared" si="4"/>
        <v>22897.2</v>
      </c>
    </row>
    <row r="145" spans="1:9" ht="21.75">
      <c r="A145" s="360" t="s">
        <v>293</v>
      </c>
      <c r="B145" s="362"/>
      <c r="C145" s="362"/>
      <c r="D145" s="362"/>
      <c r="E145" s="361"/>
      <c r="F145" s="363">
        <v>18300</v>
      </c>
      <c r="G145" s="363">
        <v>18300</v>
      </c>
      <c r="H145" s="363">
        <v>18300</v>
      </c>
      <c r="I145" s="363">
        <f t="shared" si="4"/>
        <v>0</v>
      </c>
    </row>
    <row r="146" spans="1:9" ht="21.75">
      <c r="A146" s="360" t="s">
        <v>294</v>
      </c>
      <c r="B146" s="362"/>
      <c r="C146" s="362"/>
      <c r="D146" s="362"/>
      <c r="E146" s="361"/>
      <c r="F146" s="363">
        <v>8700</v>
      </c>
      <c r="G146" s="363">
        <v>8700</v>
      </c>
      <c r="H146" s="363">
        <v>8700</v>
      </c>
      <c r="I146" s="363">
        <f t="shared" si="4"/>
        <v>0</v>
      </c>
    </row>
    <row r="147" spans="1:9" ht="21.75">
      <c r="A147" s="498" t="s">
        <v>49</v>
      </c>
      <c r="B147" s="499"/>
      <c r="C147" s="499"/>
      <c r="D147" s="499"/>
      <c r="E147" s="499"/>
      <c r="F147" s="17"/>
      <c r="G147" s="17"/>
      <c r="H147" s="17"/>
      <c r="I147" s="393"/>
    </row>
    <row r="148" spans="1:9" ht="21.75">
      <c r="A148" s="360" t="s">
        <v>295</v>
      </c>
      <c r="B148" s="362"/>
      <c r="C148" s="362"/>
      <c r="D148" s="362"/>
      <c r="E148" s="361"/>
      <c r="F148" s="363">
        <v>364968.42</v>
      </c>
      <c r="G148" s="363">
        <v>364968.42</v>
      </c>
      <c r="H148" s="363">
        <v>364968.42</v>
      </c>
      <c r="I148" s="363">
        <f>F148-H148</f>
        <v>0</v>
      </c>
    </row>
    <row r="149" spans="6:9" ht="22.5" thickBot="1">
      <c r="F149" s="276">
        <f>F140+F141+F142+F143+F144+F145+F146+F148</f>
        <v>490865.62</v>
      </c>
      <c r="G149" s="380">
        <f>G140+G141+G142+G143+G144+G145+G146+G148</f>
        <v>429968.42</v>
      </c>
      <c r="H149" s="276">
        <f>H140+H141+H142+H143+H144+H145+H146+H148</f>
        <v>429968.42</v>
      </c>
      <c r="I149" s="381">
        <f>I140+I141+I142+I143+I144+I145+I146+I148</f>
        <v>60897.2</v>
      </c>
    </row>
    <row r="150" ht="22.5" thickTop="1"/>
    <row r="153" spans="1:9" ht="29.25">
      <c r="A153" s="496" t="s">
        <v>302</v>
      </c>
      <c r="B153" s="496"/>
      <c r="C153" s="496"/>
      <c r="D153" s="496"/>
      <c r="E153" s="496"/>
      <c r="F153" s="496"/>
      <c r="G153" s="496"/>
      <c r="H153" s="496"/>
      <c r="I153" s="496"/>
    </row>
    <row r="154" spans="1:9" ht="23.25">
      <c r="A154" s="497" t="s">
        <v>349</v>
      </c>
      <c r="B154" s="497"/>
      <c r="C154" s="497"/>
      <c r="D154" s="497"/>
      <c r="E154" s="497"/>
      <c r="F154" s="497"/>
      <c r="G154" s="497"/>
      <c r="H154" s="497"/>
      <c r="I154" s="497"/>
    </row>
    <row r="155" spans="1:9" ht="21.75">
      <c r="A155" s="462" t="s">
        <v>3</v>
      </c>
      <c r="B155" s="463"/>
      <c r="C155" s="463"/>
      <c r="D155" s="463"/>
      <c r="E155" s="464"/>
      <c r="F155" s="357" t="s">
        <v>303</v>
      </c>
      <c r="G155" s="357" t="s">
        <v>284</v>
      </c>
      <c r="H155" s="357" t="s">
        <v>104</v>
      </c>
      <c r="I155" s="357" t="s">
        <v>102</v>
      </c>
    </row>
    <row r="156" spans="1:9" ht="21.75">
      <c r="A156" s="360" t="s">
        <v>304</v>
      </c>
      <c r="B156" s="362"/>
      <c r="C156" s="362"/>
      <c r="D156" s="362"/>
      <c r="E156" s="361"/>
      <c r="F156" s="363">
        <v>143640</v>
      </c>
      <c r="G156" s="363">
        <v>143640</v>
      </c>
      <c r="H156" s="363">
        <v>143640</v>
      </c>
      <c r="I156" s="363">
        <f>F156-H156</f>
        <v>0</v>
      </c>
    </row>
    <row r="157" spans="1:9" ht="21.75">
      <c r="A157" s="360"/>
      <c r="B157" s="362"/>
      <c r="C157" s="362"/>
      <c r="D157" s="362"/>
      <c r="E157" s="361"/>
      <c r="F157" s="363"/>
      <c r="G157" s="363"/>
      <c r="H157" s="363"/>
      <c r="I157" s="363"/>
    </row>
    <row r="158" spans="1:9" ht="21.75">
      <c r="A158" s="360"/>
      <c r="B158" s="362"/>
      <c r="C158" s="362"/>
      <c r="D158" s="362"/>
      <c r="E158" s="361"/>
      <c r="F158" s="363"/>
      <c r="G158" s="363"/>
      <c r="H158" s="363"/>
      <c r="I158" s="363"/>
    </row>
    <row r="159" spans="1:9" ht="21.75">
      <c r="A159" s="360"/>
      <c r="B159" s="362"/>
      <c r="C159" s="362"/>
      <c r="D159" s="362"/>
      <c r="E159" s="361"/>
      <c r="F159" s="363"/>
      <c r="G159" s="363"/>
      <c r="H159" s="363"/>
      <c r="I159" s="363"/>
    </row>
    <row r="160" spans="1:9" ht="21.75">
      <c r="A160" s="360"/>
      <c r="B160" s="362"/>
      <c r="C160" s="362"/>
      <c r="D160" s="362"/>
      <c r="E160" s="361"/>
      <c r="F160" s="363"/>
      <c r="G160" s="363"/>
      <c r="H160" s="363"/>
      <c r="I160" s="363"/>
    </row>
    <row r="161" spans="1:9" ht="21.75">
      <c r="A161" s="360"/>
      <c r="B161" s="362"/>
      <c r="C161" s="362"/>
      <c r="D161" s="362"/>
      <c r="E161" s="361"/>
      <c r="F161" s="363"/>
      <c r="G161" s="363"/>
      <c r="H161" s="363"/>
      <c r="I161" s="363"/>
    </row>
    <row r="162" spans="1:9" ht="21.75">
      <c r="A162" s="360"/>
      <c r="B162" s="362"/>
      <c r="C162" s="362"/>
      <c r="D162" s="362"/>
      <c r="E162" s="361"/>
      <c r="F162" s="363"/>
      <c r="G162" s="363"/>
      <c r="H162" s="363"/>
      <c r="I162" s="363"/>
    </row>
    <row r="163" spans="6:9" ht="22.5" thickBot="1">
      <c r="F163" s="276">
        <f>F156+F157+F158+F159+F160+F161+F162</f>
        <v>143640</v>
      </c>
      <c r="G163" s="380">
        <f>G156+G157+G158+G159+G160+G161+G162</f>
        <v>143640</v>
      </c>
      <c r="H163" s="276">
        <f>H156+H157+H158+H159+H160+H161+H162</f>
        <v>143640</v>
      </c>
      <c r="I163" s="381">
        <f>I156+I157+I158+I159+I160+I161+I162</f>
        <v>0</v>
      </c>
    </row>
    <row r="164" spans="1:5" ht="22.5" thickTop="1">
      <c r="A164" s="22"/>
      <c r="B164" s="22"/>
      <c r="C164" s="22"/>
      <c r="D164" s="22"/>
      <c r="E164" s="22"/>
    </row>
  </sheetData>
  <mergeCells count="40">
    <mergeCell ref="A12:E12"/>
    <mergeCell ref="A18:I18"/>
    <mergeCell ref="A19:I19"/>
    <mergeCell ref="A20:E20"/>
    <mergeCell ref="A1:I1"/>
    <mergeCell ref="A2:I2"/>
    <mergeCell ref="A3:E3"/>
    <mergeCell ref="A4:E4"/>
    <mergeCell ref="A120:I120"/>
    <mergeCell ref="A121:E121"/>
    <mergeCell ref="A113:E113"/>
    <mergeCell ref="A102:I102"/>
    <mergeCell ref="A103:I103"/>
    <mergeCell ref="A119:I119"/>
    <mergeCell ref="A104:E104"/>
    <mergeCell ref="A105:E105"/>
    <mergeCell ref="A136:I136"/>
    <mergeCell ref="A137:I137"/>
    <mergeCell ref="A138:E138"/>
    <mergeCell ref="A139:E139"/>
    <mergeCell ref="A147:E147"/>
    <mergeCell ref="A153:I153"/>
    <mergeCell ref="A154:I154"/>
    <mergeCell ref="A155:E155"/>
    <mergeCell ref="A68:I68"/>
    <mergeCell ref="A69:I69"/>
    <mergeCell ref="A70:E70"/>
    <mergeCell ref="A71:E71"/>
    <mergeCell ref="A79:E79"/>
    <mergeCell ref="A85:I85"/>
    <mergeCell ref="A86:I86"/>
    <mergeCell ref="A87:E87"/>
    <mergeCell ref="A34:I34"/>
    <mergeCell ref="A35:I35"/>
    <mergeCell ref="A36:E36"/>
    <mergeCell ref="A37:E37"/>
    <mergeCell ref="A45:E45"/>
    <mergeCell ref="A51:I51"/>
    <mergeCell ref="A52:I52"/>
    <mergeCell ref="A53:E53"/>
  </mergeCells>
  <printOptions/>
  <pageMargins left="0.25" right="0.2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2"/>
  <sheetViews>
    <sheetView workbookViewId="0" topLeftCell="A1">
      <selection activeCell="J8" sqref="J8"/>
    </sheetView>
  </sheetViews>
  <sheetFormatPr defaultColWidth="9.140625" defaultRowHeight="21.75"/>
  <cols>
    <col min="2" max="2" width="11.00390625" style="0" customWidth="1"/>
    <col min="3" max="3" width="12.8515625" style="0" customWidth="1"/>
    <col min="4" max="4" width="12.7109375" style="0" bestFit="1" customWidth="1"/>
    <col min="5" max="5" width="14.421875" style="0" customWidth="1"/>
    <col min="6" max="6" width="15.28125" style="0" customWidth="1"/>
    <col min="7" max="7" width="12.8515625" style="0" customWidth="1"/>
    <col min="10" max="10" width="11.00390625" style="0" bestFit="1" customWidth="1"/>
  </cols>
  <sheetData>
    <row r="1" spans="1:7" ht="29.25">
      <c r="A1" s="504" t="s">
        <v>278</v>
      </c>
      <c r="B1" s="504"/>
      <c r="C1" s="504"/>
      <c r="D1" s="504"/>
      <c r="E1" s="504"/>
      <c r="F1" s="504"/>
      <c r="G1" s="504"/>
    </row>
    <row r="2" spans="1:7" ht="23.25">
      <c r="A2" s="500" t="s">
        <v>416</v>
      </c>
      <c r="B2" s="500"/>
      <c r="C2" s="500"/>
      <c r="D2" s="500"/>
      <c r="E2" s="500"/>
      <c r="F2" s="500"/>
      <c r="G2" s="500"/>
    </row>
    <row r="3" spans="1:7" ht="23.25">
      <c r="A3" s="508" t="s">
        <v>3</v>
      </c>
      <c r="B3" s="509"/>
      <c r="C3" s="510"/>
      <c r="D3" s="355" t="s">
        <v>8</v>
      </c>
      <c r="E3" s="349" t="s">
        <v>276</v>
      </c>
      <c r="F3" s="355" t="s">
        <v>277</v>
      </c>
      <c r="G3" s="374" t="s">
        <v>102</v>
      </c>
    </row>
    <row r="4" spans="1:7" ht="24">
      <c r="A4" s="511" t="s">
        <v>301</v>
      </c>
      <c r="B4" s="512"/>
      <c r="C4" s="513"/>
      <c r="D4" s="15">
        <v>1813.21</v>
      </c>
      <c r="E4" s="392">
        <v>12679.88</v>
      </c>
      <c r="F4" s="429">
        <v>1813.21</v>
      </c>
      <c r="G4" s="15">
        <f aca="true" t="shared" si="0" ref="G4:G9">D4+E4-F4</f>
        <v>12679.880000000001</v>
      </c>
    </row>
    <row r="5" spans="1:7" ht="24">
      <c r="A5" s="371" t="s">
        <v>274</v>
      </c>
      <c r="B5" s="147"/>
      <c r="C5" s="346"/>
      <c r="D5" s="389">
        <v>687951</v>
      </c>
      <c r="E5" s="387">
        <v>0</v>
      </c>
      <c r="F5" s="388">
        <v>0</v>
      </c>
      <c r="G5" s="389">
        <f t="shared" si="0"/>
        <v>687951</v>
      </c>
    </row>
    <row r="6" spans="1:7" ht="24">
      <c r="A6" s="371" t="s">
        <v>275</v>
      </c>
      <c r="B6" s="147"/>
      <c r="C6" s="347"/>
      <c r="D6" s="389">
        <v>108.06</v>
      </c>
      <c r="E6" s="389">
        <v>27.63</v>
      </c>
      <c r="F6" s="238">
        <v>0</v>
      </c>
      <c r="G6" s="389">
        <f t="shared" si="0"/>
        <v>135.69</v>
      </c>
    </row>
    <row r="7" spans="1:7" ht="24">
      <c r="A7" s="371" t="s">
        <v>217</v>
      </c>
      <c r="B7" s="147"/>
      <c r="C7" s="347"/>
      <c r="D7" s="389">
        <v>1536.88</v>
      </c>
      <c r="E7" s="389">
        <v>33.16</v>
      </c>
      <c r="F7" s="238">
        <v>0</v>
      </c>
      <c r="G7" s="389">
        <f t="shared" si="0"/>
        <v>1570.0400000000002</v>
      </c>
    </row>
    <row r="8" spans="1:7" ht="24">
      <c r="A8" s="372" t="s">
        <v>52</v>
      </c>
      <c r="B8" s="373"/>
      <c r="C8" s="348"/>
      <c r="D8" s="391">
        <v>150155.23</v>
      </c>
      <c r="E8" s="391">
        <v>0</v>
      </c>
      <c r="F8" s="390">
        <v>0</v>
      </c>
      <c r="G8" s="391">
        <f t="shared" si="0"/>
        <v>150155.23</v>
      </c>
    </row>
    <row r="9" spans="1:7" ht="24.75" thickBot="1">
      <c r="A9" s="370"/>
      <c r="B9" s="147"/>
      <c r="C9" s="366"/>
      <c r="D9" s="412">
        <f>D4+D5+D6+D7+D8</f>
        <v>841564.38</v>
      </c>
      <c r="E9" s="276">
        <f>E4+E5+E6+E7+E8</f>
        <v>12740.669999999998</v>
      </c>
      <c r="F9" s="380">
        <f>F4+F5+F6+F7+F8</f>
        <v>1813.21</v>
      </c>
      <c r="G9" s="455">
        <f t="shared" si="0"/>
        <v>852491.8400000001</v>
      </c>
    </row>
    <row r="10" spans="1:7" ht="24.75" thickTop="1">
      <c r="A10" s="147"/>
      <c r="B10" s="147"/>
      <c r="C10" s="366"/>
      <c r="D10" s="367"/>
      <c r="E10" s="366"/>
      <c r="F10" s="366"/>
      <c r="G10" s="22"/>
    </row>
    <row r="11" spans="1:7" ht="23.25">
      <c r="A11" s="369"/>
      <c r="B11" s="369"/>
      <c r="C11" s="368"/>
      <c r="D11" s="368"/>
      <c r="E11" s="368"/>
      <c r="F11" s="368"/>
      <c r="G11" s="22"/>
    </row>
    <row r="12" spans="1:7" ht="21.75">
      <c r="A12" s="22"/>
      <c r="B12" s="22"/>
      <c r="C12" s="22"/>
      <c r="D12" s="22"/>
      <c r="E12" s="22"/>
      <c r="F12" s="22"/>
      <c r="G12" s="22"/>
    </row>
    <row r="14" spans="1:7" ht="29.25">
      <c r="A14" s="504" t="s">
        <v>279</v>
      </c>
      <c r="B14" s="504"/>
      <c r="C14" s="504"/>
      <c r="D14" s="504"/>
      <c r="E14" s="504"/>
      <c r="F14" s="504"/>
      <c r="G14" s="504"/>
    </row>
    <row r="15" spans="1:7" ht="23.25">
      <c r="A15" s="488" t="s">
        <v>417</v>
      </c>
      <c r="B15" s="488"/>
      <c r="C15" s="488"/>
      <c r="D15" s="488"/>
      <c r="E15" s="488"/>
      <c r="F15" s="488"/>
      <c r="G15" s="488"/>
    </row>
    <row r="16" spans="1:7" ht="23.25">
      <c r="A16" s="365"/>
      <c r="B16" s="365"/>
      <c r="C16" s="365"/>
      <c r="D16" s="365"/>
      <c r="E16" s="365"/>
      <c r="F16" s="365"/>
      <c r="G16" s="365"/>
    </row>
    <row r="17" spans="1:7" ht="21.75">
      <c r="A17" s="462" t="s">
        <v>3</v>
      </c>
      <c r="B17" s="463"/>
      <c r="C17" s="464"/>
      <c r="D17" s="357" t="s">
        <v>283</v>
      </c>
      <c r="E17" s="377" t="s">
        <v>284</v>
      </c>
      <c r="F17" s="356" t="s">
        <v>104</v>
      </c>
      <c r="G17" s="357" t="s">
        <v>102</v>
      </c>
    </row>
    <row r="18" spans="1:7" ht="21.75">
      <c r="A18" s="505" t="s">
        <v>285</v>
      </c>
      <c r="B18" s="506"/>
      <c r="C18" s="507"/>
      <c r="D18" s="379"/>
      <c r="E18" s="378"/>
      <c r="F18" s="376"/>
      <c r="G18" s="378"/>
    </row>
    <row r="19" spans="1:7" ht="21.75">
      <c r="A19" s="3" t="s">
        <v>280</v>
      </c>
      <c r="B19" s="22"/>
      <c r="C19" s="4"/>
      <c r="D19" s="15">
        <v>9500</v>
      </c>
      <c r="E19" s="15">
        <v>0</v>
      </c>
      <c r="F19" s="12">
        <v>9500</v>
      </c>
      <c r="G19" s="375">
        <f>D19-F19</f>
        <v>0</v>
      </c>
    </row>
    <row r="20" spans="1:7" ht="21.75">
      <c r="A20" s="3"/>
      <c r="B20" s="22"/>
      <c r="C20" s="4"/>
      <c r="D20" s="15"/>
      <c r="E20" s="15"/>
      <c r="F20" s="12"/>
      <c r="G20" s="28"/>
    </row>
    <row r="21" spans="1:7" ht="21.75">
      <c r="A21" s="501" t="s">
        <v>286</v>
      </c>
      <c r="B21" s="502"/>
      <c r="C21" s="503"/>
      <c r="D21" s="15"/>
      <c r="E21" s="15"/>
      <c r="F21" s="12"/>
      <c r="G21" s="28"/>
    </row>
    <row r="22" spans="1:7" ht="21.75">
      <c r="A22" s="3" t="s">
        <v>281</v>
      </c>
      <c r="B22" s="22"/>
      <c r="C22" s="4"/>
      <c r="D22" s="15">
        <v>57162</v>
      </c>
      <c r="E22" s="15">
        <v>0</v>
      </c>
      <c r="F22" s="12">
        <v>57162</v>
      </c>
      <c r="G22" s="375">
        <f>D22-F22</f>
        <v>0</v>
      </c>
    </row>
    <row r="23" spans="1:7" ht="21.75">
      <c r="A23" s="3" t="s">
        <v>282</v>
      </c>
      <c r="B23" s="22"/>
      <c r="C23" s="4"/>
      <c r="D23" s="15">
        <v>431700</v>
      </c>
      <c r="E23" s="15">
        <v>0</v>
      </c>
      <c r="F23" s="12">
        <v>431534</v>
      </c>
      <c r="G23" s="375">
        <f>D23-F23</f>
        <v>166</v>
      </c>
    </row>
    <row r="24" spans="1:7" ht="21.75">
      <c r="A24" s="24"/>
      <c r="B24" s="25"/>
      <c r="C24" s="26"/>
      <c r="D24" s="15"/>
      <c r="E24" s="15"/>
      <c r="F24" s="12"/>
      <c r="G24" s="28"/>
    </row>
    <row r="25" spans="4:7" ht="22.5" thickBot="1">
      <c r="D25" s="276">
        <f>D19+D22+D23</f>
        <v>498362</v>
      </c>
      <c r="E25" s="276">
        <f>E19+E22+E23</f>
        <v>0</v>
      </c>
      <c r="F25" s="276">
        <f>F19+F22+F23</f>
        <v>498196</v>
      </c>
      <c r="G25" s="276">
        <f>G19+G22+G23</f>
        <v>166</v>
      </c>
    </row>
    <row r="26" ht="22.5" thickTop="1"/>
    <row r="35" spans="1:7" ht="29.25">
      <c r="A35" s="504" t="s">
        <v>278</v>
      </c>
      <c r="B35" s="504"/>
      <c r="C35" s="504"/>
      <c r="D35" s="504"/>
      <c r="E35" s="504"/>
      <c r="F35" s="504"/>
      <c r="G35" s="504"/>
    </row>
    <row r="36" spans="1:7" ht="23.25">
      <c r="A36" s="500" t="s">
        <v>409</v>
      </c>
      <c r="B36" s="500"/>
      <c r="C36" s="500"/>
      <c r="D36" s="500"/>
      <c r="E36" s="500"/>
      <c r="F36" s="500"/>
      <c r="G36" s="500"/>
    </row>
    <row r="37" spans="1:7" ht="23.25">
      <c r="A37" s="508" t="s">
        <v>3</v>
      </c>
      <c r="B37" s="509"/>
      <c r="C37" s="510"/>
      <c r="D37" s="355" t="s">
        <v>8</v>
      </c>
      <c r="E37" s="349" t="s">
        <v>276</v>
      </c>
      <c r="F37" s="355" t="s">
        <v>277</v>
      </c>
      <c r="G37" s="374" t="s">
        <v>102</v>
      </c>
    </row>
    <row r="38" spans="1:7" ht="24">
      <c r="A38" s="511" t="s">
        <v>301</v>
      </c>
      <c r="B38" s="512"/>
      <c r="C38" s="513"/>
      <c r="D38" s="15">
        <v>743.16</v>
      </c>
      <c r="E38" s="392">
        <v>1813.21</v>
      </c>
      <c r="F38" s="429">
        <v>743.16</v>
      </c>
      <c r="G38" s="15">
        <f aca="true" t="shared" si="1" ref="G38:G43">D38+E38-F38</f>
        <v>1813.21</v>
      </c>
    </row>
    <row r="39" spans="1:7" ht="24">
      <c r="A39" s="371" t="s">
        <v>274</v>
      </c>
      <c r="B39" s="147"/>
      <c r="C39" s="346"/>
      <c r="D39" s="389">
        <v>691339</v>
      </c>
      <c r="E39" s="387">
        <v>5535</v>
      </c>
      <c r="F39" s="388">
        <v>8923</v>
      </c>
      <c r="G39" s="389">
        <f t="shared" si="1"/>
        <v>687951</v>
      </c>
    </row>
    <row r="40" spans="1:7" ht="24">
      <c r="A40" s="371" t="s">
        <v>275</v>
      </c>
      <c r="B40" s="147"/>
      <c r="C40" s="347"/>
      <c r="D40" s="389">
        <v>1172.67</v>
      </c>
      <c r="E40" s="389">
        <v>108.06</v>
      </c>
      <c r="F40" s="238">
        <v>1172.67</v>
      </c>
      <c r="G40" s="389">
        <f t="shared" si="1"/>
        <v>108.05999999999995</v>
      </c>
    </row>
    <row r="41" spans="1:7" ht="24">
      <c r="A41" s="371" t="s">
        <v>217</v>
      </c>
      <c r="B41" s="147"/>
      <c r="C41" s="347"/>
      <c r="D41" s="389">
        <v>1407.2</v>
      </c>
      <c r="E41" s="389">
        <v>129.68</v>
      </c>
      <c r="F41" s="238">
        <v>0</v>
      </c>
      <c r="G41" s="389">
        <f t="shared" si="1"/>
        <v>1536.88</v>
      </c>
    </row>
    <row r="42" spans="1:7" ht="24">
      <c r="A42" s="372" t="s">
        <v>52</v>
      </c>
      <c r="B42" s="373"/>
      <c r="C42" s="348"/>
      <c r="D42" s="391">
        <v>204151.53</v>
      </c>
      <c r="E42" s="391">
        <v>6003.7</v>
      </c>
      <c r="F42" s="390">
        <v>0</v>
      </c>
      <c r="G42" s="391">
        <f t="shared" si="1"/>
        <v>210155.23</v>
      </c>
    </row>
    <row r="43" spans="1:7" ht="24.75" thickBot="1">
      <c r="A43" s="370"/>
      <c r="B43" s="147"/>
      <c r="C43" s="366"/>
      <c r="D43" s="412">
        <f>D38+D39+D40+D41+D42</f>
        <v>898813.56</v>
      </c>
      <c r="E43" s="276">
        <f>E38+E39+E40+E41+E42</f>
        <v>13589.650000000001</v>
      </c>
      <c r="F43" s="380">
        <f>F38+F39+F40+F41+F42</f>
        <v>10838.83</v>
      </c>
      <c r="G43" s="455">
        <f t="shared" si="1"/>
        <v>901564.3800000001</v>
      </c>
    </row>
    <row r="44" spans="1:7" ht="24.75" thickTop="1">
      <c r="A44" s="147"/>
      <c r="B44" s="147"/>
      <c r="C44" s="366"/>
      <c r="D44" s="367"/>
      <c r="E44" s="366"/>
      <c r="F44" s="366"/>
      <c r="G44" s="22"/>
    </row>
    <row r="45" spans="1:7" ht="23.25">
      <c r="A45" s="369"/>
      <c r="B45" s="369"/>
      <c r="C45" s="368"/>
      <c r="D45" s="368"/>
      <c r="E45" s="368"/>
      <c r="F45" s="368"/>
      <c r="G45" s="22"/>
    </row>
    <row r="46" spans="1:7" ht="21.75">
      <c r="A46" s="22"/>
      <c r="B46" s="22"/>
      <c r="C46" s="22"/>
      <c r="D46" s="22"/>
      <c r="E46" s="22"/>
      <c r="F46" s="22"/>
      <c r="G46" s="22"/>
    </row>
    <row r="48" spans="1:7" ht="29.25">
      <c r="A48" s="504" t="s">
        <v>279</v>
      </c>
      <c r="B48" s="504"/>
      <c r="C48" s="504"/>
      <c r="D48" s="504"/>
      <c r="E48" s="504"/>
      <c r="F48" s="504"/>
      <c r="G48" s="504"/>
    </row>
    <row r="49" spans="1:7" ht="23.25">
      <c r="A49" s="488" t="s">
        <v>410</v>
      </c>
      <c r="B49" s="488"/>
      <c r="C49" s="488"/>
      <c r="D49" s="488"/>
      <c r="E49" s="488"/>
      <c r="F49" s="488"/>
      <c r="G49" s="488"/>
    </row>
    <row r="50" spans="1:7" ht="23.25">
      <c r="A50" s="365"/>
      <c r="B50" s="365"/>
      <c r="C50" s="365"/>
      <c r="D50" s="365"/>
      <c r="E50" s="365"/>
      <c r="F50" s="365"/>
      <c r="G50" s="365"/>
    </row>
    <row r="51" spans="1:7" ht="21.75">
      <c r="A51" s="462" t="s">
        <v>3</v>
      </c>
      <c r="B51" s="463"/>
      <c r="C51" s="464"/>
      <c r="D51" s="357" t="s">
        <v>283</v>
      </c>
      <c r="E51" s="377" t="s">
        <v>284</v>
      </c>
      <c r="F51" s="356" t="s">
        <v>104</v>
      </c>
      <c r="G51" s="357" t="s">
        <v>102</v>
      </c>
    </row>
    <row r="52" spans="1:7" ht="21.75">
      <c r="A52" s="505" t="s">
        <v>285</v>
      </c>
      <c r="B52" s="506"/>
      <c r="C52" s="507"/>
      <c r="D52" s="379"/>
      <c r="E52" s="378"/>
      <c r="F52" s="376"/>
      <c r="G52" s="378"/>
    </row>
    <row r="53" spans="1:7" ht="21.75">
      <c r="A53" s="3" t="s">
        <v>280</v>
      </c>
      <c r="B53" s="22"/>
      <c r="C53" s="4"/>
      <c r="D53" s="15">
        <v>9500</v>
      </c>
      <c r="E53" s="15">
        <v>0</v>
      </c>
      <c r="F53" s="12">
        <v>9500</v>
      </c>
      <c r="G53" s="375">
        <f>D53-F53</f>
        <v>0</v>
      </c>
    </row>
    <row r="54" spans="1:7" ht="21.75">
      <c r="A54" s="3"/>
      <c r="B54" s="22"/>
      <c r="C54" s="4"/>
      <c r="D54" s="15"/>
      <c r="E54" s="15"/>
      <c r="F54" s="12"/>
      <c r="G54" s="28"/>
    </row>
    <row r="55" spans="1:7" ht="21.75">
      <c r="A55" s="501" t="s">
        <v>286</v>
      </c>
      <c r="B55" s="502"/>
      <c r="C55" s="503"/>
      <c r="D55" s="15"/>
      <c r="E55" s="15"/>
      <c r="F55" s="12"/>
      <c r="G55" s="28"/>
    </row>
    <row r="56" spans="1:7" ht="21.75">
      <c r="A56" s="3" t="s">
        <v>281</v>
      </c>
      <c r="B56" s="22"/>
      <c r="C56" s="4"/>
      <c r="D56" s="15">
        <v>57162</v>
      </c>
      <c r="E56" s="15">
        <v>0</v>
      </c>
      <c r="F56" s="12">
        <v>57162</v>
      </c>
      <c r="G56" s="375">
        <f>D56-F56</f>
        <v>0</v>
      </c>
    </row>
    <row r="57" spans="1:7" ht="21.75">
      <c r="A57" s="3" t="s">
        <v>282</v>
      </c>
      <c r="B57" s="22"/>
      <c r="C57" s="4"/>
      <c r="D57" s="15">
        <v>431700</v>
      </c>
      <c r="E57" s="15">
        <v>0</v>
      </c>
      <c r="F57" s="12">
        <v>431534</v>
      </c>
      <c r="G57" s="375">
        <f>D57-F57</f>
        <v>166</v>
      </c>
    </row>
    <row r="58" spans="1:7" ht="21.75">
      <c r="A58" s="24"/>
      <c r="B58" s="25"/>
      <c r="C58" s="26"/>
      <c r="D58" s="15"/>
      <c r="E58" s="15"/>
      <c r="F58" s="12"/>
      <c r="G58" s="28"/>
    </row>
    <row r="59" spans="4:7" ht="22.5" thickBot="1">
      <c r="D59" s="276">
        <f>D53+D56+D57</f>
        <v>498362</v>
      </c>
      <c r="E59" s="276">
        <f>E53+E56+E57</f>
        <v>0</v>
      </c>
      <c r="F59" s="276">
        <f>F53+F56+F57</f>
        <v>498196</v>
      </c>
      <c r="G59" s="276">
        <f>G53+G56+G57</f>
        <v>166</v>
      </c>
    </row>
    <row r="60" ht="22.5" thickTop="1"/>
    <row r="68" spans="1:7" ht="29.25">
      <c r="A68" s="504" t="s">
        <v>278</v>
      </c>
      <c r="B68" s="504"/>
      <c r="C68" s="504"/>
      <c r="D68" s="504"/>
      <c r="E68" s="504"/>
      <c r="F68" s="504"/>
      <c r="G68" s="504"/>
    </row>
    <row r="69" spans="1:7" ht="23.25">
      <c r="A69" s="500" t="s">
        <v>402</v>
      </c>
      <c r="B69" s="500"/>
      <c r="C69" s="500"/>
      <c r="D69" s="500"/>
      <c r="E69" s="500"/>
      <c r="F69" s="500"/>
      <c r="G69" s="500"/>
    </row>
    <row r="70" spans="1:7" ht="23.25">
      <c r="A70" s="508" t="s">
        <v>3</v>
      </c>
      <c r="B70" s="509"/>
      <c r="C70" s="510"/>
      <c r="D70" s="355" t="s">
        <v>8</v>
      </c>
      <c r="E70" s="349" t="s">
        <v>276</v>
      </c>
      <c r="F70" s="355" t="s">
        <v>277</v>
      </c>
      <c r="G70" s="374" t="s">
        <v>102</v>
      </c>
    </row>
    <row r="71" spans="1:7" ht="24">
      <c r="A71" s="511" t="s">
        <v>301</v>
      </c>
      <c r="B71" s="512"/>
      <c r="C71" s="513"/>
      <c r="D71" s="15">
        <v>97.89</v>
      </c>
      <c r="E71" s="392">
        <v>743.16</v>
      </c>
      <c r="F71" s="429">
        <v>97.89</v>
      </c>
      <c r="G71" s="15">
        <f aca="true" t="shared" si="2" ref="G71:G76">D71+E71-F71</f>
        <v>743.16</v>
      </c>
    </row>
    <row r="72" spans="1:7" ht="24">
      <c r="A72" s="371" t="s">
        <v>274</v>
      </c>
      <c r="B72" s="147"/>
      <c r="C72" s="346"/>
      <c r="D72" s="389">
        <v>883342</v>
      </c>
      <c r="E72" s="387">
        <v>4250</v>
      </c>
      <c r="F72" s="388">
        <v>196253</v>
      </c>
      <c r="G72" s="389">
        <f t="shared" si="2"/>
        <v>691339</v>
      </c>
    </row>
    <row r="73" spans="1:7" ht="24">
      <c r="A73" s="371" t="s">
        <v>275</v>
      </c>
      <c r="B73" s="147"/>
      <c r="C73" s="347"/>
      <c r="D73" s="389">
        <v>671.2</v>
      </c>
      <c r="E73" s="389">
        <v>501.47</v>
      </c>
      <c r="F73" s="238">
        <v>0</v>
      </c>
      <c r="G73" s="389">
        <f t="shared" si="2"/>
        <v>1172.67</v>
      </c>
    </row>
    <row r="74" spans="1:7" ht="24">
      <c r="A74" s="371" t="s">
        <v>217</v>
      </c>
      <c r="B74" s="147"/>
      <c r="C74" s="347"/>
      <c r="D74" s="389">
        <v>805.44</v>
      </c>
      <c r="E74" s="389">
        <v>601.76</v>
      </c>
      <c r="F74" s="238">
        <v>0</v>
      </c>
      <c r="G74" s="389">
        <f t="shared" si="2"/>
        <v>1407.2</v>
      </c>
    </row>
    <row r="75" spans="1:7" ht="24">
      <c r="A75" s="372" t="s">
        <v>52</v>
      </c>
      <c r="B75" s="373"/>
      <c r="C75" s="348"/>
      <c r="D75" s="391">
        <v>195144.95</v>
      </c>
      <c r="E75" s="391">
        <v>24006.58</v>
      </c>
      <c r="F75" s="390">
        <v>15000</v>
      </c>
      <c r="G75" s="391">
        <f t="shared" si="2"/>
        <v>204151.53000000003</v>
      </c>
    </row>
    <row r="76" spans="1:7" ht="24.75" thickBot="1">
      <c r="A76" s="370"/>
      <c r="B76" s="147"/>
      <c r="C76" s="366"/>
      <c r="D76" s="412">
        <f>D71+D72+D73+D74+D75</f>
        <v>1080061.48</v>
      </c>
      <c r="E76" s="276">
        <f>E71+E72+E73+E74+E75</f>
        <v>30102.97</v>
      </c>
      <c r="F76" s="380">
        <f>F71+F72+F73+F74+F75</f>
        <v>211350.89</v>
      </c>
      <c r="G76" s="455">
        <f t="shared" si="2"/>
        <v>898813.5599999999</v>
      </c>
    </row>
    <row r="77" spans="1:7" ht="24.75" thickTop="1">
      <c r="A77" s="147"/>
      <c r="B77" s="147"/>
      <c r="C77" s="366"/>
      <c r="D77" s="367"/>
      <c r="E77" s="366"/>
      <c r="F77" s="366"/>
      <c r="G77" s="22"/>
    </row>
    <row r="78" spans="1:7" ht="23.25">
      <c r="A78" s="369"/>
      <c r="B78" s="369"/>
      <c r="C78" s="368"/>
      <c r="D78" s="368"/>
      <c r="E78" s="368"/>
      <c r="F78" s="368"/>
      <c r="G78" s="22"/>
    </row>
    <row r="79" spans="1:7" ht="21.75">
      <c r="A79" s="22"/>
      <c r="B79" s="22"/>
      <c r="C79" s="22"/>
      <c r="D79" s="22"/>
      <c r="E79" s="22"/>
      <c r="F79" s="22"/>
      <c r="G79" s="22"/>
    </row>
    <row r="81" spans="1:7" ht="29.25">
      <c r="A81" s="504" t="s">
        <v>279</v>
      </c>
      <c r="B81" s="504"/>
      <c r="C81" s="504"/>
      <c r="D81" s="504"/>
      <c r="E81" s="504"/>
      <c r="F81" s="504"/>
      <c r="G81" s="504"/>
    </row>
    <row r="82" spans="1:7" ht="23.25">
      <c r="A82" s="488" t="s">
        <v>403</v>
      </c>
      <c r="B82" s="488"/>
      <c r="C82" s="488"/>
      <c r="D82" s="488"/>
      <c r="E82" s="488"/>
      <c r="F82" s="488"/>
      <c r="G82" s="488"/>
    </row>
    <row r="83" spans="1:7" ht="23.25">
      <c r="A83" s="365"/>
      <c r="B83" s="365"/>
      <c r="C83" s="365"/>
      <c r="D83" s="365"/>
      <c r="E83" s="365"/>
      <c r="F83" s="365"/>
      <c r="G83" s="365"/>
    </row>
    <row r="84" spans="1:7" ht="21.75">
      <c r="A84" s="462" t="s">
        <v>3</v>
      </c>
      <c r="B84" s="463"/>
      <c r="C84" s="464"/>
      <c r="D84" s="357" t="s">
        <v>283</v>
      </c>
      <c r="E84" s="377" t="s">
        <v>284</v>
      </c>
      <c r="F84" s="356" t="s">
        <v>104</v>
      </c>
      <c r="G84" s="357" t="s">
        <v>102</v>
      </c>
    </row>
    <row r="85" spans="1:7" ht="21.75">
      <c r="A85" s="505" t="s">
        <v>285</v>
      </c>
      <c r="B85" s="506"/>
      <c r="C85" s="507"/>
      <c r="D85" s="379"/>
      <c r="E85" s="378"/>
      <c r="F85" s="376"/>
      <c r="G85" s="378"/>
    </row>
    <row r="86" spans="1:7" ht="21.75">
      <c r="A86" s="3" t="s">
        <v>280</v>
      </c>
      <c r="B86" s="22"/>
      <c r="C86" s="4"/>
      <c r="D86" s="15">
        <v>9500</v>
      </c>
      <c r="E86" s="15">
        <v>0</v>
      </c>
      <c r="F86" s="12">
        <v>9500</v>
      </c>
      <c r="G86" s="375">
        <f>D86-F86</f>
        <v>0</v>
      </c>
    </row>
    <row r="87" spans="1:7" ht="21.75">
      <c r="A87" s="3"/>
      <c r="B87" s="22"/>
      <c r="C87" s="4"/>
      <c r="D87" s="15"/>
      <c r="E87" s="15"/>
      <c r="F87" s="12"/>
      <c r="G87" s="28"/>
    </row>
    <row r="88" spans="1:7" ht="21.75">
      <c r="A88" s="501" t="s">
        <v>286</v>
      </c>
      <c r="B88" s="502"/>
      <c r="C88" s="503"/>
      <c r="D88" s="15"/>
      <c r="E88" s="15"/>
      <c r="F88" s="12"/>
      <c r="G88" s="28"/>
    </row>
    <row r="89" spans="1:7" ht="21.75">
      <c r="A89" s="3" t="s">
        <v>281</v>
      </c>
      <c r="B89" s="22"/>
      <c r="C89" s="4"/>
      <c r="D89" s="15">
        <v>57162</v>
      </c>
      <c r="E89" s="15">
        <v>0</v>
      </c>
      <c r="F89" s="12">
        <v>57162</v>
      </c>
      <c r="G89" s="375">
        <f>D89-F89</f>
        <v>0</v>
      </c>
    </row>
    <row r="90" spans="1:7" ht="21.75">
      <c r="A90" s="3" t="s">
        <v>282</v>
      </c>
      <c r="B90" s="22"/>
      <c r="C90" s="4"/>
      <c r="D90" s="15">
        <v>431700</v>
      </c>
      <c r="E90" s="15">
        <v>0</v>
      </c>
      <c r="F90" s="12">
        <v>431534</v>
      </c>
      <c r="G90" s="375">
        <f>D90-F90</f>
        <v>166</v>
      </c>
    </row>
    <row r="91" spans="1:7" ht="21.75">
      <c r="A91" s="24"/>
      <c r="B91" s="25"/>
      <c r="C91" s="26"/>
      <c r="D91" s="15"/>
      <c r="E91" s="15"/>
      <c r="F91" s="12"/>
      <c r="G91" s="28"/>
    </row>
    <row r="92" spans="4:7" ht="22.5" thickBot="1">
      <c r="D92" s="276">
        <f>D86+D89+D90</f>
        <v>498362</v>
      </c>
      <c r="E92" s="276">
        <f>E86+E89+E90</f>
        <v>0</v>
      </c>
      <c r="F92" s="276">
        <f>F86+F89+F90</f>
        <v>498196</v>
      </c>
      <c r="G92" s="276">
        <f>G86+G89+G90</f>
        <v>166</v>
      </c>
    </row>
    <row r="93" ht="22.5" thickTop="1"/>
    <row r="101" spans="1:7" ht="29.25">
      <c r="A101" s="504" t="s">
        <v>278</v>
      </c>
      <c r="B101" s="504"/>
      <c r="C101" s="504"/>
      <c r="D101" s="504"/>
      <c r="E101" s="504"/>
      <c r="F101" s="504"/>
      <c r="G101" s="504"/>
    </row>
    <row r="102" spans="1:7" ht="23.25">
      <c r="A102" s="500" t="s">
        <v>397</v>
      </c>
      <c r="B102" s="500"/>
      <c r="C102" s="500"/>
      <c r="D102" s="500"/>
      <c r="E102" s="500"/>
      <c r="F102" s="500"/>
      <c r="G102" s="500"/>
    </row>
    <row r="103" spans="1:7" ht="23.25">
      <c r="A103" s="508" t="s">
        <v>3</v>
      </c>
      <c r="B103" s="509"/>
      <c r="C103" s="510"/>
      <c r="D103" s="355" t="s">
        <v>8</v>
      </c>
      <c r="E103" s="349" t="s">
        <v>276</v>
      </c>
      <c r="F103" s="355" t="s">
        <v>277</v>
      </c>
      <c r="G103" s="374" t="s">
        <v>102</v>
      </c>
    </row>
    <row r="104" spans="1:7" ht="24">
      <c r="A104" s="511" t="s">
        <v>301</v>
      </c>
      <c r="B104" s="512"/>
      <c r="C104" s="513"/>
      <c r="D104" s="15">
        <v>1739.52</v>
      </c>
      <c r="E104" s="392">
        <v>97.89</v>
      </c>
      <c r="F104" s="429">
        <v>1739.52</v>
      </c>
      <c r="G104" s="15">
        <f aca="true" t="shared" si="3" ref="G104:G109">D104+E104-F104</f>
        <v>97.8900000000001</v>
      </c>
    </row>
    <row r="105" spans="1:7" ht="24">
      <c r="A105" s="371" t="s">
        <v>274</v>
      </c>
      <c r="B105" s="147"/>
      <c r="C105" s="346"/>
      <c r="D105" s="389">
        <v>647001</v>
      </c>
      <c r="E105" s="387">
        <v>236341</v>
      </c>
      <c r="F105" s="388">
        <v>0</v>
      </c>
      <c r="G105" s="389">
        <f t="shared" si="3"/>
        <v>883342</v>
      </c>
    </row>
    <row r="106" spans="1:7" ht="24">
      <c r="A106" s="371" t="s">
        <v>275</v>
      </c>
      <c r="B106" s="147"/>
      <c r="C106" s="347"/>
      <c r="D106" s="389">
        <v>274.53</v>
      </c>
      <c r="E106" s="389">
        <v>396.67</v>
      </c>
      <c r="F106" s="238">
        <v>0</v>
      </c>
      <c r="G106" s="389">
        <f t="shared" si="3"/>
        <v>671.2</v>
      </c>
    </row>
    <row r="107" spans="1:7" ht="24">
      <c r="A107" s="371" t="s">
        <v>217</v>
      </c>
      <c r="B107" s="147"/>
      <c r="C107" s="347"/>
      <c r="D107" s="389">
        <v>329.44</v>
      </c>
      <c r="E107" s="389">
        <v>476</v>
      </c>
      <c r="F107" s="238">
        <v>0</v>
      </c>
      <c r="G107" s="389">
        <f t="shared" si="3"/>
        <v>805.44</v>
      </c>
    </row>
    <row r="108" spans="1:7" ht="24">
      <c r="A108" s="372" t="s">
        <v>52</v>
      </c>
      <c r="B108" s="373"/>
      <c r="C108" s="348"/>
      <c r="D108" s="391">
        <v>195144.95</v>
      </c>
      <c r="E108" s="391">
        <v>0</v>
      </c>
      <c r="F108" s="390">
        <v>0</v>
      </c>
      <c r="G108" s="391">
        <f t="shared" si="3"/>
        <v>195144.95</v>
      </c>
    </row>
    <row r="109" spans="1:7" ht="24.75" thickBot="1">
      <c r="A109" s="370"/>
      <c r="B109" s="147"/>
      <c r="C109" s="366"/>
      <c r="D109" s="412">
        <f>D104+D105+D106+D107+D108</f>
        <v>844489.44</v>
      </c>
      <c r="E109" s="276">
        <f>E104+E105+E106+E107+E108</f>
        <v>237311.56000000003</v>
      </c>
      <c r="F109" s="380">
        <f>F104+F105+F106+F107+F108</f>
        <v>1739.52</v>
      </c>
      <c r="G109" s="455">
        <f t="shared" si="3"/>
        <v>1080061.48</v>
      </c>
    </row>
    <row r="110" spans="1:7" ht="24.75" thickTop="1">
      <c r="A110" s="147"/>
      <c r="B110" s="147"/>
      <c r="C110" s="366"/>
      <c r="D110" s="367"/>
      <c r="E110" s="366"/>
      <c r="F110" s="366"/>
      <c r="G110" s="22"/>
    </row>
    <row r="111" spans="1:7" ht="23.25">
      <c r="A111" s="369"/>
      <c r="B111" s="369"/>
      <c r="C111" s="368"/>
      <c r="D111" s="368"/>
      <c r="E111" s="368"/>
      <c r="F111" s="368"/>
      <c r="G111" s="22"/>
    </row>
    <row r="112" spans="1:7" ht="21.75">
      <c r="A112" s="22"/>
      <c r="B112" s="22"/>
      <c r="C112" s="22"/>
      <c r="D112" s="22"/>
      <c r="E112" s="22"/>
      <c r="F112" s="22"/>
      <c r="G112" s="22"/>
    </row>
    <row r="114" spans="1:7" ht="29.25">
      <c r="A114" s="504" t="s">
        <v>279</v>
      </c>
      <c r="B114" s="504"/>
      <c r="C114" s="504"/>
      <c r="D114" s="504"/>
      <c r="E114" s="504"/>
      <c r="F114" s="504"/>
      <c r="G114" s="504"/>
    </row>
    <row r="115" spans="1:7" ht="23.25">
      <c r="A115" s="488" t="s">
        <v>398</v>
      </c>
      <c r="B115" s="488"/>
      <c r="C115" s="488"/>
      <c r="D115" s="488"/>
      <c r="E115" s="488"/>
      <c r="F115" s="488"/>
      <c r="G115" s="488"/>
    </row>
    <row r="116" spans="1:7" ht="23.25">
      <c r="A116" s="365"/>
      <c r="B116" s="365"/>
      <c r="C116" s="365"/>
      <c r="D116" s="365"/>
      <c r="E116" s="365"/>
      <c r="F116" s="365"/>
      <c r="G116" s="365"/>
    </row>
    <row r="117" spans="1:7" ht="21.75">
      <c r="A117" s="462" t="s">
        <v>3</v>
      </c>
      <c r="B117" s="463"/>
      <c r="C117" s="464"/>
      <c r="D117" s="357" t="s">
        <v>283</v>
      </c>
      <c r="E117" s="377" t="s">
        <v>284</v>
      </c>
      <c r="F117" s="356" t="s">
        <v>104</v>
      </c>
      <c r="G117" s="357" t="s">
        <v>102</v>
      </c>
    </row>
    <row r="118" spans="1:7" ht="21.75">
      <c r="A118" s="505" t="s">
        <v>285</v>
      </c>
      <c r="B118" s="506"/>
      <c r="C118" s="507"/>
      <c r="D118" s="379"/>
      <c r="E118" s="378"/>
      <c r="F118" s="376"/>
      <c r="G118" s="378"/>
    </row>
    <row r="119" spans="1:7" ht="21.75">
      <c r="A119" s="3" t="s">
        <v>280</v>
      </c>
      <c r="B119" s="22"/>
      <c r="C119" s="4"/>
      <c r="D119" s="15">
        <v>9500</v>
      </c>
      <c r="E119" s="15">
        <v>0</v>
      </c>
      <c r="F119" s="12">
        <v>9500</v>
      </c>
      <c r="G119" s="375">
        <f>D119-F119</f>
        <v>0</v>
      </c>
    </row>
    <row r="120" spans="1:7" ht="21.75">
      <c r="A120" s="3"/>
      <c r="B120" s="22"/>
      <c r="C120" s="4"/>
      <c r="D120" s="15"/>
      <c r="E120" s="15"/>
      <c r="F120" s="12"/>
      <c r="G120" s="28"/>
    </row>
    <row r="121" spans="1:7" ht="21.75">
      <c r="A121" s="501" t="s">
        <v>286</v>
      </c>
      <c r="B121" s="502"/>
      <c r="C121" s="503"/>
      <c r="D121" s="15"/>
      <c r="E121" s="15"/>
      <c r="F121" s="12"/>
      <c r="G121" s="28"/>
    </row>
    <row r="122" spans="1:7" ht="21.75">
      <c r="A122" s="3" t="s">
        <v>281</v>
      </c>
      <c r="B122" s="22"/>
      <c r="C122" s="4"/>
      <c r="D122" s="15">
        <v>57162</v>
      </c>
      <c r="E122" s="15">
        <v>0</v>
      </c>
      <c r="F122" s="12">
        <v>57162</v>
      </c>
      <c r="G122" s="375">
        <f>D122-F122</f>
        <v>0</v>
      </c>
    </row>
    <row r="123" spans="1:7" ht="21.75">
      <c r="A123" s="3" t="s">
        <v>282</v>
      </c>
      <c r="B123" s="22"/>
      <c r="C123" s="4"/>
      <c r="D123" s="15">
        <v>431700</v>
      </c>
      <c r="E123" s="15">
        <v>0</v>
      </c>
      <c r="F123" s="12">
        <v>431534</v>
      </c>
      <c r="G123" s="375">
        <f>D123-F123</f>
        <v>166</v>
      </c>
    </row>
    <row r="124" spans="1:7" ht="21.75">
      <c r="A124" s="24"/>
      <c r="B124" s="25"/>
      <c r="C124" s="26"/>
      <c r="D124" s="15"/>
      <c r="E124" s="15"/>
      <c r="F124" s="12"/>
      <c r="G124" s="28"/>
    </row>
    <row r="125" spans="4:7" ht="22.5" thickBot="1">
      <c r="D125" s="276">
        <f>D119+D122+D123</f>
        <v>498362</v>
      </c>
      <c r="E125" s="276">
        <f>E119+E122+E123</f>
        <v>0</v>
      </c>
      <c r="F125" s="276">
        <f>F119+F122+F123</f>
        <v>498196</v>
      </c>
      <c r="G125" s="276">
        <f>G119+G122+G123</f>
        <v>166</v>
      </c>
    </row>
    <row r="126" ht="22.5" thickTop="1"/>
    <row r="134" spans="1:7" ht="29.25">
      <c r="A134" s="504" t="s">
        <v>278</v>
      </c>
      <c r="B134" s="504"/>
      <c r="C134" s="504"/>
      <c r="D134" s="504"/>
      <c r="E134" s="504"/>
      <c r="F134" s="504"/>
      <c r="G134" s="504"/>
    </row>
    <row r="135" spans="1:7" ht="23.25">
      <c r="A135" s="500" t="s">
        <v>390</v>
      </c>
      <c r="B135" s="500"/>
      <c r="C135" s="500"/>
      <c r="D135" s="500"/>
      <c r="E135" s="500"/>
      <c r="F135" s="500"/>
      <c r="G135" s="500"/>
    </row>
    <row r="136" spans="1:7" ht="23.25">
      <c r="A136" s="508" t="s">
        <v>3</v>
      </c>
      <c r="B136" s="509"/>
      <c r="C136" s="510"/>
      <c r="D136" s="355" t="s">
        <v>8</v>
      </c>
      <c r="E136" s="349" t="s">
        <v>276</v>
      </c>
      <c r="F136" s="355" t="s">
        <v>277</v>
      </c>
      <c r="G136" s="374" t="s">
        <v>102</v>
      </c>
    </row>
    <row r="137" spans="1:7" ht="24">
      <c r="A137" s="511" t="s">
        <v>301</v>
      </c>
      <c r="B137" s="512"/>
      <c r="C137" s="513"/>
      <c r="D137" s="15">
        <v>734.62</v>
      </c>
      <c r="E137" s="392">
        <v>1739.52</v>
      </c>
      <c r="F137" s="429">
        <v>734.62</v>
      </c>
      <c r="G137" s="15">
        <f aca="true" t="shared" si="4" ref="G137:G142">D137+E137-F137</f>
        <v>1739.52</v>
      </c>
    </row>
    <row r="138" spans="1:7" ht="24">
      <c r="A138" s="371" t="s">
        <v>274</v>
      </c>
      <c r="B138" s="147"/>
      <c r="C138" s="346"/>
      <c r="D138" s="389">
        <v>647230</v>
      </c>
      <c r="E138" s="387">
        <v>3000</v>
      </c>
      <c r="F138" s="388">
        <v>3229</v>
      </c>
      <c r="G138" s="389">
        <f t="shared" si="4"/>
        <v>647001</v>
      </c>
    </row>
    <row r="139" spans="1:7" ht="24">
      <c r="A139" s="371" t="s">
        <v>275</v>
      </c>
      <c r="B139" s="147"/>
      <c r="C139" s="347"/>
      <c r="D139" s="389">
        <v>1919.51</v>
      </c>
      <c r="E139" s="389">
        <v>138.75</v>
      </c>
      <c r="F139" s="238">
        <v>1783.73</v>
      </c>
      <c r="G139" s="389">
        <f t="shared" si="4"/>
        <v>274.5300000000002</v>
      </c>
    </row>
    <row r="140" spans="1:7" ht="24">
      <c r="A140" s="371" t="s">
        <v>217</v>
      </c>
      <c r="B140" s="147"/>
      <c r="C140" s="347"/>
      <c r="D140" s="389">
        <v>2300.98</v>
      </c>
      <c r="E140" s="389">
        <v>166.5</v>
      </c>
      <c r="F140" s="238">
        <v>2138.04</v>
      </c>
      <c r="G140" s="389">
        <f t="shared" si="4"/>
        <v>329.44000000000005</v>
      </c>
    </row>
    <row r="141" spans="1:7" ht="24">
      <c r="A141" s="372" t="s">
        <v>52</v>
      </c>
      <c r="B141" s="373"/>
      <c r="C141" s="348"/>
      <c r="D141" s="391">
        <v>174947.69</v>
      </c>
      <c r="E141" s="391">
        <v>20197.26</v>
      </c>
      <c r="F141" s="390">
        <v>0</v>
      </c>
      <c r="G141" s="391">
        <f t="shared" si="4"/>
        <v>195144.95</v>
      </c>
    </row>
    <row r="142" spans="1:7" ht="24.75" thickBot="1">
      <c r="A142" s="370"/>
      <c r="B142" s="147"/>
      <c r="C142" s="366"/>
      <c r="D142" s="412">
        <f>D137+D138+D139+D140+D141</f>
        <v>827132.8</v>
      </c>
      <c r="E142" s="276">
        <f>E137+E138+E139+E140+E141</f>
        <v>25242.03</v>
      </c>
      <c r="F142" s="380" t="s">
        <v>120</v>
      </c>
      <c r="G142" s="455" t="e">
        <f t="shared" si="4"/>
        <v>#VALUE!</v>
      </c>
    </row>
    <row r="143" spans="1:7" ht="24.75" thickTop="1">
      <c r="A143" s="147"/>
      <c r="B143" s="147"/>
      <c r="C143" s="366"/>
      <c r="D143" s="367"/>
      <c r="E143" s="366"/>
      <c r="F143" s="366"/>
      <c r="G143" s="22"/>
    </row>
    <row r="144" spans="1:7" ht="23.25">
      <c r="A144" s="369"/>
      <c r="B144" s="369"/>
      <c r="C144" s="368"/>
      <c r="D144" s="368"/>
      <c r="E144" s="368"/>
      <c r="F144" s="368"/>
      <c r="G144" s="22"/>
    </row>
    <row r="145" spans="1:7" ht="21.75">
      <c r="A145" s="22"/>
      <c r="B145" s="22"/>
      <c r="C145" s="22"/>
      <c r="D145" s="22"/>
      <c r="E145" s="22"/>
      <c r="F145" s="22"/>
      <c r="G145" s="22"/>
    </row>
    <row r="147" spans="1:7" ht="29.25">
      <c r="A147" s="504" t="s">
        <v>279</v>
      </c>
      <c r="B147" s="504"/>
      <c r="C147" s="504"/>
      <c r="D147" s="504"/>
      <c r="E147" s="504"/>
      <c r="F147" s="504"/>
      <c r="G147" s="504"/>
    </row>
    <row r="148" spans="1:7" ht="23.25">
      <c r="A148" s="488" t="s">
        <v>391</v>
      </c>
      <c r="B148" s="488"/>
      <c r="C148" s="488"/>
      <c r="D148" s="488"/>
      <c r="E148" s="488"/>
      <c r="F148" s="488"/>
      <c r="G148" s="488"/>
    </row>
    <row r="149" spans="1:7" ht="23.25">
      <c r="A149" s="365"/>
      <c r="B149" s="365"/>
      <c r="C149" s="365"/>
      <c r="D149" s="365"/>
      <c r="E149" s="365"/>
      <c r="F149" s="365"/>
      <c r="G149" s="365"/>
    </row>
    <row r="150" spans="1:7" ht="21.75">
      <c r="A150" s="462" t="s">
        <v>3</v>
      </c>
      <c r="B150" s="463"/>
      <c r="C150" s="464"/>
      <c r="D150" s="357" t="s">
        <v>283</v>
      </c>
      <c r="E150" s="377" t="s">
        <v>284</v>
      </c>
      <c r="F150" s="356" t="s">
        <v>104</v>
      </c>
      <c r="G150" s="357" t="s">
        <v>102</v>
      </c>
    </row>
    <row r="151" spans="1:7" ht="21.75">
      <c r="A151" s="505" t="s">
        <v>285</v>
      </c>
      <c r="B151" s="506"/>
      <c r="C151" s="507"/>
      <c r="D151" s="379"/>
      <c r="E151" s="378"/>
      <c r="F151" s="376"/>
      <c r="G151" s="378"/>
    </row>
    <row r="152" spans="1:7" ht="21.75">
      <c r="A152" s="3" t="s">
        <v>280</v>
      </c>
      <c r="B152" s="22"/>
      <c r="C152" s="4"/>
      <c r="D152" s="15">
        <v>9500</v>
      </c>
      <c r="E152" s="15">
        <v>0</v>
      </c>
      <c r="F152" s="12">
        <v>9500</v>
      </c>
      <c r="G152" s="375">
        <f>D152-F152</f>
        <v>0</v>
      </c>
    </row>
    <row r="153" spans="1:7" ht="21.75">
      <c r="A153" s="3"/>
      <c r="B153" s="22"/>
      <c r="C153" s="4"/>
      <c r="D153" s="15"/>
      <c r="E153" s="15"/>
      <c r="F153" s="12"/>
      <c r="G153" s="28"/>
    </row>
    <row r="154" spans="1:7" ht="21.75">
      <c r="A154" s="501" t="s">
        <v>286</v>
      </c>
      <c r="B154" s="502"/>
      <c r="C154" s="503"/>
      <c r="D154" s="15"/>
      <c r="E154" s="15"/>
      <c r="F154" s="12"/>
      <c r="G154" s="28"/>
    </row>
    <row r="155" spans="1:7" ht="21.75">
      <c r="A155" s="3" t="s">
        <v>281</v>
      </c>
      <c r="B155" s="22"/>
      <c r="C155" s="4"/>
      <c r="D155" s="15">
        <v>57162</v>
      </c>
      <c r="E155" s="15">
        <v>0</v>
      </c>
      <c r="F155" s="12">
        <v>57162</v>
      </c>
      <c r="G155" s="375">
        <f>D155-F155</f>
        <v>0</v>
      </c>
    </row>
    <row r="156" spans="1:7" ht="21.75">
      <c r="A156" s="3" t="s">
        <v>282</v>
      </c>
      <c r="B156" s="22"/>
      <c r="C156" s="4"/>
      <c r="D156" s="15">
        <v>431700</v>
      </c>
      <c r="E156" s="15">
        <v>0</v>
      </c>
      <c r="F156" s="12">
        <v>431534</v>
      </c>
      <c r="G156" s="375">
        <f>D156-F156</f>
        <v>166</v>
      </c>
    </row>
    <row r="157" spans="1:7" ht="21.75">
      <c r="A157" s="24"/>
      <c r="B157" s="25"/>
      <c r="C157" s="26"/>
      <c r="D157" s="15"/>
      <c r="E157" s="15"/>
      <c r="F157" s="12"/>
      <c r="G157" s="28"/>
    </row>
    <row r="158" spans="4:7" ht="22.5" thickBot="1">
      <c r="D158" s="276">
        <f>D152+D155+D156</f>
        <v>498362</v>
      </c>
      <c r="E158" s="276">
        <f>E152+E155+E156</f>
        <v>0</v>
      </c>
      <c r="F158" s="276">
        <f>F152+F155+F156</f>
        <v>498196</v>
      </c>
      <c r="G158" s="276">
        <f>G152+G155+G156</f>
        <v>166</v>
      </c>
    </row>
    <row r="159" ht="22.5" thickTop="1"/>
    <row r="167" spans="1:7" ht="29.25">
      <c r="A167" s="504" t="s">
        <v>278</v>
      </c>
      <c r="B167" s="504"/>
      <c r="C167" s="504"/>
      <c r="D167" s="504"/>
      <c r="E167" s="504"/>
      <c r="F167" s="504"/>
      <c r="G167" s="504"/>
    </row>
    <row r="168" spans="1:7" ht="23.25">
      <c r="A168" s="500" t="s">
        <v>380</v>
      </c>
      <c r="B168" s="500"/>
      <c r="C168" s="500"/>
      <c r="D168" s="500"/>
      <c r="E168" s="500"/>
      <c r="F168" s="500"/>
      <c r="G168" s="500"/>
    </row>
    <row r="169" spans="1:7" ht="23.25">
      <c r="A169" s="508" t="s">
        <v>3</v>
      </c>
      <c r="B169" s="509"/>
      <c r="C169" s="510"/>
      <c r="D169" s="355" t="s">
        <v>8</v>
      </c>
      <c r="E169" s="349" t="s">
        <v>276</v>
      </c>
      <c r="F169" s="355" t="s">
        <v>277</v>
      </c>
      <c r="G169" s="374" t="s">
        <v>102</v>
      </c>
    </row>
    <row r="170" spans="1:10" ht="24">
      <c r="A170" s="511" t="s">
        <v>301</v>
      </c>
      <c r="B170" s="512"/>
      <c r="C170" s="513"/>
      <c r="D170" s="417">
        <v>1236.18</v>
      </c>
      <c r="E170" s="392">
        <v>734.62</v>
      </c>
      <c r="F170" s="429">
        <v>1236.18</v>
      </c>
      <c r="G170" s="15">
        <f aca="true" t="shared" si="5" ref="G170:G175">D170+E170-F170</f>
        <v>734.6200000000001</v>
      </c>
      <c r="J170" s="444">
        <f>G170+G171+G172+G173+G174</f>
        <v>827132.8</v>
      </c>
    </row>
    <row r="171" spans="1:7" ht="24">
      <c r="A171" s="371" t="s">
        <v>274</v>
      </c>
      <c r="B171" s="147"/>
      <c r="C171" s="346"/>
      <c r="D171" s="244">
        <v>641259</v>
      </c>
      <c r="E171" s="387">
        <v>5971</v>
      </c>
      <c r="F171" s="388">
        <v>0</v>
      </c>
      <c r="G171" s="389">
        <f t="shared" si="5"/>
        <v>647230</v>
      </c>
    </row>
    <row r="172" spans="1:7" ht="24">
      <c r="A172" s="371" t="s">
        <v>275</v>
      </c>
      <c r="B172" s="147"/>
      <c r="C172" s="347"/>
      <c r="D172" s="417">
        <v>1783.73</v>
      </c>
      <c r="E172" s="389">
        <v>135.78</v>
      </c>
      <c r="F172" s="238">
        <v>0</v>
      </c>
      <c r="G172" s="389">
        <f t="shared" si="5"/>
        <v>1919.51</v>
      </c>
    </row>
    <row r="173" spans="1:7" ht="24">
      <c r="A173" s="371" t="s">
        <v>217</v>
      </c>
      <c r="B173" s="147"/>
      <c r="C173" s="347"/>
      <c r="D173" s="244">
        <v>2138.04</v>
      </c>
      <c r="E173" s="389">
        <v>162.94</v>
      </c>
      <c r="F173" s="238">
        <v>0</v>
      </c>
      <c r="G173" s="389">
        <f t="shared" si="5"/>
        <v>2300.98</v>
      </c>
    </row>
    <row r="174" spans="1:7" ht="24">
      <c r="A174" s="372" t="s">
        <v>52</v>
      </c>
      <c r="B174" s="373"/>
      <c r="C174" s="348"/>
      <c r="D174" s="417">
        <v>160947.69</v>
      </c>
      <c r="E174" s="391">
        <v>14000</v>
      </c>
      <c r="F174" s="390">
        <v>0</v>
      </c>
      <c r="G174" s="391">
        <f t="shared" si="5"/>
        <v>174947.69</v>
      </c>
    </row>
    <row r="175" spans="1:7" ht="24.75" thickBot="1">
      <c r="A175" s="370"/>
      <c r="B175" s="147"/>
      <c r="C175" s="366"/>
      <c r="D175" s="412">
        <f>D170+D171+D172+D173+D174</f>
        <v>807364.6400000001</v>
      </c>
      <c r="E175" s="276">
        <f>E170+E171+E172+E173+E174</f>
        <v>21004.34</v>
      </c>
      <c r="F175" s="380">
        <f>F170+F171+F172+F173+F174</f>
        <v>1236.18</v>
      </c>
      <c r="G175" s="413">
        <f t="shared" si="5"/>
        <v>827132.8</v>
      </c>
    </row>
    <row r="176" spans="1:7" ht="24.75" thickTop="1">
      <c r="A176" s="147"/>
      <c r="B176" s="147"/>
      <c r="C176" s="366"/>
      <c r="D176" s="367"/>
      <c r="E176" s="366"/>
      <c r="F176" s="366"/>
      <c r="G176" s="22"/>
    </row>
    <row r="177" spans="1:7" ht="23.25">
      <c r="A177" s="369"/>
      <c r="B177" s="369"/>
      <c r="C177" s="368"/>
      <c r="D177" s="368"/>
      <c r="E177" s="368"/>
      <c r="F177" s="368"/>
      <c r="G177" s="22"/>
    </row>
    <row r="178" spans="1:7" ht="21.75">
      <c r="A178" s="22"/>
      <c r="B178" s="22"/>
      <c r="C178" s="22"/>
      <c r="D178" s="22"/>
      <c r="E178" s="22"/>
      <c r="F178" s="22"/>
      <c r="G178" s="22"/>
    </row>
    <row r="180" spans="1:7" ht="29.25">
      <c r="A180" s="504" t="s">
        <v>279</v>
      </c>
      <c r="B180" s="504"/>
      <c r="C180" s="504"/>
      <c r="D180" s="504"/>
      <c r="E180" s="504"/>
      <c r="F180" s="504"/>
      <c r="G180" s="504"/>
    </row>
    <row r="181" spans="1:7" ht="23.25">
      <c r="A181" s="488" t="s">
        <v>381</v>
      </c>
      <c r="B181" s="488"/>
      <c r="C181" s="488"/>
      <c r="D181" s="488"/>
      <c r="E181" s="488"/>
      <c r="F181" s="488"/>
      <c r="G181" s="488"/>
    </row>
    <row r="182" spans="1:7" ht="23.25">
      <c r="A182" s="365"/>
      <c r="B182" s="365"/>
      <c r="C182" s="365"/>
      <c r="D182" s="365"/>
      <c r="E182" s="365"/>
      <c r="F182" s="365"/>
      <c r="G182" s="365"/>
    </row>
    <row r="183" spans="1:7" ht="21.75">
      <c r="A183" s="462" t="s">
        <v>3</v>
      </c>
      <c r="B183" s="463"/>
      <c r="C183" s="464"/>
      <c r="D183" s="357" t="s">
        <v>283</v>
      </c>
      <c r="E183" s="377" t="s">
        <v>284</v>
      </c>
      <c r="F183" s="356" t="s">
        <v>104</v>
      </c>
      <c r="G183" s="357" t="s">
        <v>102</v>
      </c>
    </row>
    <row r="184" spans="1:7" ht="21.75">
      <c r="A184" s="505" t="s">
        <v>285</v>
      </c>
      <c r="B184" s="506"/>
      <c r="C184" s="507"/>
      <c r="D184" s="379"/>
      <c r="E184" s="378"/>
      <c r="F184" s="376"/>
      <c r="G184" s="378"/>
    </row>
    <row r="185" spans="1:7" ht="21.75">
      <c r="A185" s="3" t="s">
        <v>280</v>
      </c>
      <c r="B185" s="22"/>
      <c r="C185" s="4"/>
      <c r="D185" s="15">
        <v>9500</v>
      </c>
      <c r="E185" s="15">
        <v>0</v>
      </c>
      <c r="F185" s="12">
        <v>9500</v>
      </c>
      <c r="G185" s="375">
        <f>D185-F185</f>
        <v>0</v>
      </c>
    </row>
    <row r="186" spans="1:7" ht="21.75">
      <c r="A186" s="3"/>
      <c r="B186" s="22"/>
      <c r="C186" s="4"/>
      <c r="D186" s="15"/>
      <c r="E186" s="15"/>
      <c r="F186" s="12"/>
      <c r="G186" s="28"/>
    </row>
    <row r="187" spans="1:7" ht="21.75">
      <c r="A187" s="501" t="s">
        <v>286</v>
      </c>
      <c r="B187" s="502"/>
      <c r="C187" s="503"/>
      <c r="D187" s="15"/>
      <c r="E187" s="15"/>
      <c r="F187" s="12"/>
      <c r="G187" s="28"/>
    </row>
    <row r="188" spans="1:7" ht="21.75">
      <c r="A188" s="3" t="s">
        <v>281</v>
      </c>
      <c r="B188" s="22"/>
      <c r="C188" s="4"/>
      <c r="D188" s="15">
        <v>57162</v>
      </c>
      <c r="E188" s="15">
        <v>0</v>
      </c>
      <c r="F188" s="12">
        <v>57162</v>
      </c>
      <c r="G188" s="375">
        <f>D188-F188</f>
        <v>0</v>
      </c>
    </row>
    <row r="189" spans="1:7" ht="21.75">
      <c r="A189" s="3" t="s">
        <v>282</v>
      </c>
      <c r="B189" s="22"/>
      <c r="C189" s="4"/>
      <c r="D189" s="15">
        <v>431700</v>
      </c>
      <c r="E189" s="15">
        <v>0</v>
      </c>
      <c r="F189" s="12">
        <v>431534</v>
      </c>
      <c r="G189" s="375">
        <f>D189-F189</f>
        <v>166</v>
      </c>
    </row>
    <row r="190" spans="1:7" ht="21.75">
      <c r="A190" s="24"/>
      <c r="B190" s="25"/>
      <c r="C190" s="26"/>
      <c r="D190" s="15"/>
      <c r="E190" s="15"/>
      <c r="F190" s="12"/>
      <c r="G190" s="28"/>
    </row>
    <row r="191" spans="4:7" ht="22.5" thickBot="1">
      <c r="D191" s="276">
        <f>D185+D188+D189</f>
        <v>498362</v>
      </c>
      <c r="E191" s="276">
        <f>E185+E188+E189</f>
        <v>0</v>
      </c>
      <c r="F191" s="276">
        <f>F185+F188+F189</f>
        <v>498196</v>
      </c>
      <c r="G191" s="276">
        <f>G185+G188+G189</f>
        <v>166</v>
      </c>
    </row>
    <row r="192" ht="22.5" thickTop="1"/>
    <row r="200" spans="1:7" ht="29.25">
      <c r="A200" s="504" t="s">
        <v>278</v>
      </c>
      <c r="B200" s="504"/>
      <c r="C200" s="504"/>
      <c r="D200" s="504"/>
      <c r="E200" s="504"/>
      <c r="F200" s="504"/>
      <c r="G200" s="504"/>
    </row>
    <row r="201" spans="1:7" ht="23.25">
      <c r="A201" s="500" t="s">
        <v>366</v>
      </c>
      <c r="B201" s="500"/>
      <c r="C201" s="500"/>
      <c r="D201" s="500"/>
      <c r="E201" s="500"/>
      <c r="F201" s="500"/>
      <c r="G201" s="500"/>
    </row>
    <row r="202" spans="1:7" ht="23.25">
      <c r="A202" s="508" t="s">
        <v>3</v>
      </c>
      <c r="B202" s="509"/>
      <c r="C202" s="510"/>
      <c r="D202" s="355" t="s">
        <v>8</v>
      </c>
      <c r="E202" s="349" t="s">
        <v>276</v>
      </c>
      <c r="F202" s="355" t="s">
        <v>277</v>
      </c>
      <c r="G202" s="374" t="s">
        <v>102</v>
      </c>
    </row>
    <row r="203" spans="1:7" ht="24">
      <c r="A203" s="511" t="s">
        <v>301</v>
      </c>
      <c r="B203" s="512"/>
      <c r="C203" s="513"/>
      <c r="D203" s="417">
        <f>G238</f>
        <v>428.97</v>
      </c>
      <c r="E203" s="392">
        <v>1236.18</v>
      </c>
      <c r="F203" s="429">
        <v>428.97</v>
      </c>
      <c r="G203" s="15">
        <f aca="true" t="shared" si="6" ref="G203:G208">D203+E203-F203</f>
        <v>1236.18</v>
      </c>
    </row>
    <row r="204" spans="1:7" ht="24">
      <c r="A204" s="371" t="s">
        <v>274</v>
      </c>
      <c r="B204" s="147"/>
      <c r="C204" s="346"/>
      <c r="D204" s="244">
        <f>G239</f>
        <v>672447</v>
      </c>
      <c r="E204" s="387">
        <v>5436</v>
      </c>
      <c r="F204" s="388">
        <v>36624</v>
      </c>
      <c r="G204" s="389">
        <f t="shared" si="6"/>
        <v>641259</v>
      </c>
    </row>
    <row r="205" spans="1:7" ht="24">
      <c r="A205" s="371" t="s">
        <v>275</v>
      </c>
      <c r="B205" s="147"/>
      <c r="C205" s="347"/>
      <c r="D205" s="417">
        <f>G240</f>
        <v>1760.27</v>
      </c>
      <c r="E205" s="389">
        <v>23.46</v>
      </c>
      <c r="F205" s="238">
        <v>0</v>
      </c>
      <c r="G205" s="389">
        <f t="shared" si="6"/>
        <v>1783.73</v>
      </c>
    </row>
    <row r="206" spans="1:7" ht="24">
      <c r="A206" s="371" t="s">
        <v>217</v>
      </c>
      <c r="B206" s="147"/>
      <c r="C206" s="347"/>
      <c r="D206" s="244">
        <f>G241</f>
        <v>2109.8799999999997</v>
      </c>
      <c r="E206" s="389">
        <v>28.16</v>
      </c>
      <c r="F206" s="238">
        <v>0</v>
      </c>
      <c r="G206" s="389">
        <f t="shared" si="6"/>
        <v>2138.0399999999995</v>
      </c>
    </row>
    <row r="207" spans="1:7" ht="24">
      <c r="A207" s="372" t="s">
        <v>52</v>
      </c>
      <c r="B207" s="373"/>
      <c r="C207" s="348"/>
      <c r="D207" s="417">
        <f>G242</f>
        <v>154947.69</v>
      </c>
      <c r="E207" s="391">
        <v>6000</v>
      </c>
      <c r="F207" s="390">
        <v>0</v>
      </c>
      <c r="G207" s="391">
        <f t="shared" si="6"/>
        <v>160947.69</v>
      </c>
    </row>
    <row r="208" spans="1:7" ht="24.75" thickBot="1">
      <c r="A208" s="370"/>
      <c r="B208" s="147"/>
      <c r="C208" s="366"/>
      <c r="D208" s="412">
        <f>D203+D204+D205+D206+D207</f>
        <v>831693.81</v>
      </c>
      <c r="E208" s="276">
        <f>E203+E204+E205+E206+E207</f>
        <v>12723.8</v>
      </c>
      <c r="F208" s="380">
        <f>F203+F204+F205+F206+F207</f>
        <v>37052.97</v>
      </c>
      <c r="G208" s="413">
        <f t="shared" si="6"/>
        <v>807364.6400000001</v>
      </c>
    </row>
    <row r="209" spans="1:7" ht="24.75" thickTop="1">
      <c r="A209" s="147"/>
      <c r="B209" s="147"/>
      <c r="C209" s="366"/>
      <c r="D209" s="367"/>
      <c r="E209" s="366"/>
      <c r="F209" s="366"/>
      <c r="G209" s="22"/>
    </row>
    <row r="210" spans="1:7" ht="23.25">
      <c r="A210" s="369"/>
      <c r="B210" s="369"/>
      <c r="C210" s="368"/>
      <c r="D210" s="368"/>
      <c r="E210" s="368"/>
      <c r="F210" s="368"/>
      <c r="G210" s="22"/>
    </row>
    <row r="211" spans="1:7" ht="21.75">
      <c r="A211" s="22"/>
      <c r="B211" s="22"/>
      <c r="C211" s="22"/>
      <c r="D211" s="22"/>
      <c r="E211" s="22"/>
      <c r="F211" s="22"/>
      <c r="G211" s="22"/>
    </row>
    <row r="213" spans="1:7" ht="29.25">
      <c r="A213" s="504" t="s">
        <v>279</v>
      </c>
      <c r="B213" s="504"/>
      <c r="C213" s="504"/>
      <c r="D213" s="504"/>
      <c r="E213" s="504"/>
      <c r="F213" s="504"/>
      <c r="G213" s="504"/>
    </row>
    <row r="214" spans="1:7" ht="23.25">
      <c r="A214" s="488" t="s">
        <v>367</v>
      </c>
      <c r="B214" s="488"/>
      <c r="C214" s="488"/>
      <c r="D214" s="488"/>
      <c r="E214" s="488"/>
      <c r="F214" s="488"/>
      <c r="G214" s="488"/>
    </row>
    <row r="215" spans="1:7" ht="23.25">
      <c r="A215" s="365"/>
      <c r="B215" s="365"/>
      <c r="C215" s="365"/>
      <c r="D215" s="365"/>
      <c r="E215" s="365"/>
      <c r="F215" s="365"/>
      <c r="G215" s="365"/>
    </row>
    <row r="216" spans="1:7" ht="21.75">
      <c r="A216" s="462" t="s">
        <v>3</v>
      </c>
      <c r="B216" s="463"/>
      <c r="C216" s="464"/>
      <c r="D216" s="357" t="s">
        <v>283</v>
      </c>
      <c r="E216" s="377" t="s">
        <v>284</v>
      </c>
      <c r="F216" s="356" t="s">
        <v>104</v>
      </c>
      <c r="G216" s="357" t="s">
        <v>102</v>
      </c>
    </row>
    <row r="217" spans="1:7" ht="21.75">
      <c r="A217" s="505" t="s">
        <v>285</v>
      </c>
      <c r="B217" s="506"/>
      <c r="C217" s="507"/>
      <c r="D217" s="379"/>
      <c r="E217" s="378"/>
      <c r="F217" s="376"/>
      <c r="G217" s="378"/>
    </row>
    <row r="218" spans="1:7" ht="21.75">
      <c r="A218" s="3" t="s">
        <v>280</v>
      </c>
      <c r="B218" s="22"/>
      <c r="C218" s="4"/>
      <c r="D218" s="15">
        <v>9500</v>
      </c>
      <c r="E218" s="15">
        <v>0</v>
      </c>
      <c r="F218" s="12">
        <v>9500</v>
      </c>
      <c r="G218" s="375">
        <f>D218-F218</f>
        <v>0</v>
      </c>
    </row>
    <row r="219" spans="1:7" ht="21.75">
      <c r="A219" s="3"/>
      <c r="B219" s="22"/>
      <c r="C219" s="4"/>
      <c r="D219" s="15"/>
      <c r="E219" s="15"/>
      <c r="F219" s="12"/>
      <c r="G219" s="28"/>
    </row>
    <row r="220" spans="1:7" ht="21.75">
      <c r="A220" s="501" t="s">
        <v>286</v>
      </c>
      <c r="B220" s="502"/>
      <c r="C220" s="503"/>
      <c r="D220" s="15"/>
      <c r="E220" s="15"/>
      <c r="F220" s="12"/>
      <c r="G220" s="28"/>
    </row>
    <row r="221" spans="1:7" ht="21.75">
      <c r="A221" s="3" t="s">
        <v>281</v>
      </c>
      <c r="B221" s="22"/>
      <c r="C221" s="4"/>
      <c r="D221" s="15">
        <v>57162</v>
      </c>
      <c r="E221" s="15">
        <v>0</v>
      </c>
      <c r="F221" s="12">
        <v>57162</v>
      </c>
      <c r="G221" s="375">
        <f>D221-F221</f>
        <v>0</v>
      </c>
    </row>
    <row r="222" spans="1:7" ht="21.75">
      <c r="A222" s="3" t="s">
        <v>282</v>
      </c>
      <c r="B222" s="22"/>
      <c r="C222" s="4"/>
      <c r="D222" s="15">
        <v>431700</v>
      </c>
      <c r="E222" s="15">
        <v>0</v>
      </c>
      <c r="F222" s="12">
        <v>431534</v>
      </c>
      <c r="G222" s="375">
        <f>D222-F222</f>
        <v>166</v>
      </c>
    </row>
    <row r="223" spans="1:7" ht="21.75">
      <c r="A223" s="24"/>
      <c r="B223" s="25"/>
      <c r="C223" s="26"/>
      <c r="D223" s="15"/>
      <c r="E223" s="15"/>
      <c r="F223" s="12"/>
      <c r="G223" s="28"/>
    </row>
    <row r="224" spans="4:7" ht="22.5" thickBot="1">
      <c r="D224" s="276">
        <f>D218+D221+D222</f>
        <v>498362</v>
      </c>
      <c r="E224" s="276">
        <f>E218+E221+E222</f>
        <v>0</v>
      </c>
      <c r="F224" s="276">
        <f>F218+F221+F222</f>
        <v>498196</v>
      </c>
      <c r="G224" s="276">
        <f>G218+G221+G222</f>
        <v>166</v>
      </c>
    </row>
    <row r="225" ht="22.5" thickTop="1"/>
    <row r="235" spans="1:9" ht="29.25">
      <c r="A235" s="504" t="s">
        <v>278</v>
      </c>
      <c r="B235" s="504"/>
      <c r="C235" s="504"/>
      <c r="D235" s="504"/>
      <c r="E235" s="504"/>
      <c r="F235" s="504"/>
      <c r="G235" s="504"/>
      <c r="H235" s="364"/>
      <c r="I235" s="364"/>
    </row>
    <row r="236" spans="1:7" ht="23.25">
      <c r="A236" s="500" t="s">
        <v>344</v>
      </c>
      <c r="B236" s="500"/>
      <c r="C236" s="500"/>
      <c r="D236" s="500"/>
      <c r="E236" s="500"/>
      <c r="F236" s="500"/>
      <c r="G236" s="500"/>
    </row>
    <row r="237" spans="1:7" ht="23.25">
      <c r="A237" s="508" t="s">
        <v>3</v>
      </c>
      <c r="B237" s="509"/>
      <c r="C237" s="510"/>
      <c r="D237" s="355" t="s">
        <v>8</v>
      </c>
      <c r="E237" s="349" t="s">
        <v>276</v>
      </c>
      <c r="F237" s="355" t="s">
        <v>277</v>
      </c>
      <c r="G237" s="374" t="s">
        <v>102</v>
      </c>
    </row>
    <row r="238" spans="1:7" ht="24" customHeight="1">
      <c r="A238" s="511" t="s">
        <v>301</v>
      </c>
      <c r="B238" s="512"/>
      <c r="C238" s="513"/>
      <c r="D238" s="417">
        <f>G271</f>
        <v>580.59</v>
      </c>
      <c r="E238" s="392">
        <v>428.97</v>
      </c>
      <c r="F238" s="386">
        <v>580.59</v>
      </c>
      <c r="G238" s="15">
        <f aca="true" t="shared" si="7" ref="G238:G243">D238+E238-F238</f>
        <v>428.97</v>
      </c>
    </row>
    <row r="239" spans="1:7" ht="24">
      <c r="A239" s="371" t="s">
        <v>274</v>
      </c>
      <c r="B239" s="147"/>
      <c r="C239" s="346"/>
      <c r="D239" s="244">
        <f>G272</f>
        <v>686378</v>
      </c>
      <c r="E239" s="387">
        <v>1864</v>
      </c>
      <c r="F239" s="388">
        <v>15795</v>
      </c>
      <c r="G239" s="389">
        <f t="shared" si="7"/>
        <v>672447</v>
      </c>
    </row>
    <row r="240" spans="1:7" ht="24">
      <c r="A240" s="371" t="s">
        <v>275</v>
      </c>
      <c r="B240" s="147"/>
      <c r="C240" s="347"/>
      <c r="D240" s="238">
        <f>G273</f>
        <v>1683.28</v>
      </c>
      <c r="E240" s="389">
        <v>76.99</v>
      </c>
      <c r="F240" s="238">
        <v>0</v>
      </c>
      <c r="G240" s="389">
        <f t="shared" si="7"/>
        <v>1760.27</v>
      </c>
    </row>
    <row r="241" spans="1:10" ht="24">
      <c r="A241" s="371" t="s">
        <v>217</v>
      </c>
      <c r="B241" s="147"/>
      <c r="C241" s="347"/>
      <c r="D241" s="238">
        <f>G274</f>
        <v>2017.4699999999998</v>
      </c>
      <c r="E241" s="389">
        <v>92.41</v>
      </c>
      <c r="F241" s="238">
        <v>0</v>
      </c>
      <c r="G241" s="389">
        <f t="shared" si="7"/>
        <v>2109.8799999999997</v>
      </c>
      <c r="J241" s="350"/>
    </row>
    <row r="242" spans="1:7" ht="24">
      <c r="A242" s="372" t="s">
        <v>52</v>
      </c>
      <c r="B242" s="373"/>
      <c r="C242" s="348"/>
      <c r="D242" s="390">
        <f>G275</f>
        <v>154947.69</v>
      </c>
      <c r="E242" s="391">
        <v>0</v>
      </c>
      <c r="F242" s="390">
        <v>0</v>
      </c>
      <c r="G242" s="391">
        <f t="shared" si="7"/>
        <v>154947.69</v>
      </c>
    </row>
    <row r="243" spans="1:7" ht="24.75" thickBot="1">
      <c r="A243" s="370"/>
      <c r="B243" s="147"/>
      <c r="C243" s="366"/>
      <c r="D243" s="412">
        <f>D238+D239+D240+D241+D242</f>
        <v>845607.03</v>
      </c>
      <c r="E243" s="276">
        <f>E238+E239+E240+E241+E242</f>
        <v>2462.37</v>
      </c>
      <c r="F243" s="380">
        <f>F238+F239+F240+F241+F242</f>
        <v>16375.59</v>
      </c>
      <c r="G243" s="413">
        <f t="shared" si="7"/>
        <v>831693.81</v>
      </c>
    </row>
    <row r="244" spans="1:7" ht="24.75" thickTop="1">
      <c r="A244" s="147"/>
      <c r="B244" s="147"/>
      <c r="C244" s="366"/>
      <c r="D244" s="367"/>
      <c r="E244" s="366"/>
      <c r="F244" s="366"/>
      <c r="G244" s="22"/>
    </row>
    <row r="245" spans="1:7" ht="23.25">
      <c r="A245" s="369"/>
      <c r="B245" s="369"/>
      <c r="C245" s="368"/>
      <c r="D245" s="368"/>
      <c r="E245" s="368"/>
      <c r="F245" s="368"/>
      <c r="G245" s="22"/>
    </row>
    <row r="246" spans="1:7" ht="21.75">
      <c r="A246" s="22"/>
      <c r="B246" s="22"/>
      <c r="C246" s="22"/>
      <c r="D246" s="22"/>
      <c r="E246" s="22"/>
      <c r="F246" s="22"/>
      <c r="G246" s="22"/>
    </row>
    <row r="248" spans="1:7" ht="29.25">
      <c r="A248" s="504" t="s">
        <v>279</v>
      </c>
      <c r="B248" s="504"/>
      <c r="C248" s="504"/>
      <c r="D248" s="504"/>
      <c r="E248" s="504"/>
      <c r="F248" s="504"/>
      <c r="G248" s="504"/>
    </row>
    <row r="249" spans="1:7" ht="23.25">
      <c r="A249" s="488" t="s">
        <v>345</v>
      </c>
      <c r="B249" s="488"/>
      <c r="C249" s="488"/>
      <c r="D249" s="488"/>
      <c r="E249" s="488"/>
      <c r="F249" s="488"/>
      <c r="G249" s="488"/>
    </row>
    <row r="250" spans="1:7" ht="13.5" customHeight="1">
      <c r="A250" s="365"/>
      <c r="B250" s="365"/>
      <c r="C250" s="365"/>
      <c r="D250" s="365"/>
      <c r="E250" s="365"/>
      <c r="F250" s="365"/>
      <c r="G250" s="365"/>
    </row>
    <row r="251" spans="1:7" ht="21.75">
      <c r="A251" s="462" t="s">
        <v>3</v>
      </c>
      <c r="B251" s="463"/>
      <c r="C251" s="464"/>
      <c r="D251" s="357" t="s">
        <v>283</v>
      </c>
      <c r="E251" s="377" t="s">
        <v>284</v>
      </c>
      <c r="F251" s="356" t="s">
        <v>104</v>
      </c>
      <c r="G251" s="357" t="s">
        <v>102</v>
      </c>
    </row>
    <row r="252" spans="1:7" ht="21.75">
      <c r="A252" s="505" t="s">
        <v>285</v>
      </c>
      <c r="B252" s="506"/>
      <c r="C252" s="507"/>
      <c r="D252" s="379"/>
      <c r="E252" s="378"/>
      <c r="F252" s="376"/>
      <c r="G252" s="378"/>
    </row>
    <row r="253" spans="1:7" ht="21.75">
      <c r="A253" s="3" t="s">
        <v>280</v>
      </c>
      <c r="B253" s="22"/>
      <c r="C253" s="4"/>
      <c r="D253" s="15">
        <v>9500</v>
      </c>
      <c r="E253" s="15">
        <v>0</v>
      </c>
      <c r="F253" s="12">
        <v>9500</v>
      </c>
      <c r="G253" s="375">
        <f>D253-F253</f>
        <v>0</v>
      </c>
    </row>
    <row r="254" spans="1:7" ht="21.75">
      <c r="A254" s="3"/>
      <c r="B254" s="22"/>
      <c r="C254" s="4"/>
      <c r="D254" s="15"/>
      <c r="E254" s="15"/>
      <c r="F254" s="12"/>
      <c r="G254" s="28"/>
    </row>
    <row r="255" spans="1:7" ht="21.75">
      <c r="A255" s="501" t="s">
        <v>286</v>
      </c>
      <c r="B255" s="502"/>
      <c r="C255" s="503"/>
      <c r="D255" s="15"/>
      <c r="E255" s="15"/>
      <c r="F255" s="12"/>
      <c r="G255" s="28"/>
    </row>
    <row r="256" spans="1:7" ht="21.75">
      <c r="A256" s="3" t="s">
        <v>281</v>
      </c>
      <c r="B256" s="22"/>
      <c r="C256" s="4"/>
      <c r="D256" s="15">
        <v>57162</v>
      </c>
      <c r="E256" s="15">
        <v>0</v>
      </c>
      <c r="F256" s="12">
        <v>57162</v>
      </c>
      <c r="G256" s="375">
        <f>D256-F256</f>
        <v>0</v>
      </c>
    </row>
    <row r="257" spans="1:7" ht="21.75">
      <c r="A257" s="3" t="s">
        <v>282</v>
      </c>
      <c r="B257" s="22"/>
      <c r="C257" s="4"/>
      <c r="D257" s="15">
        <v>431700</v>
      </c>
      <c r="E257" s="15">
        <v>0</v>
      </c>
      <c r="F257" s="12">
        <v>431534</v>
      </c>
      <c r="G257" s="375">
        <f>D257-F257</f>
        <v>166</v>
      </c>
    </row>
    <row r="258" spans="1:7" ht="21.75">
      <c r="A258" s="24"/>
      <c r="B258" s="25"/>
      <c r="C258" s="26"/>
      <c r="D258" s="15"/>
      <c r="E258" s="15"/>
      <c r="F258" s="12"/>
      <c r="G258" s="28"/>
    </row>
    <row r="259" spans="4:7" ht="22.5" thickBot="1">
      <c r="D259" s="276">
        <f>D253+D256+D257</f>
        <v>498362</v>
      </c>
      <c r="E259" s="276">
        <f>E253+E256+E257</f>
        <v>0</v>
      </c>
      <c r="F259" s="276">
        <f>F253+F256+F257</f>
        <v>498196</v>
      </c>
      <c r="G259" s="276">
        <f>G253+G256+G257</f>
        <v>166</v>
      </c>
    </row>
    <row r="260" ht="22.5" thickTop="1"/>
    <row r="268" spans="1:7" ht="29.25">
      <c r="A268" s="504" t="s">
        <v>278</v>
      </c>
      <c r="B268" s="504"/>
      <c r="C268" s="504"/>
      <c r="D268" s="504"/>
      <c r="E268" s="504"/>
      <c r="F268" s="504"/>
      <c r="G268" s="504"/>
    </row>
    <row r="269" spans="1:7" ht="23.25">
      <c r="A269" s="500" t="s">
        <v>346</v>
      </c>
      <c r="B269" s="500"/>
      <c r="C269" s="500"/>
      <c r="D269" s="500"/>
      <c r="E269" s="500"/>
      <c r="F269" s="500"/>
      <c r="G269" s="500"/>
    </row>
    <row r="270" spans="1:7" ht="23.25">
      <c r="A270" s="508" t="s">
        <v>3</v>
      </c>
      <c r="B270" s="509"/>
      <c r="C270" s="510"/>
      <c r="D270" s="355" t="s">
        <v>8</v>
      </c>
      <c r="E270" s="349" t="s">
        <v>276</v>
      </c>
      <c r="F270" s="355" t="s">
        <v>277</v>
      </c>
      <c r="G270" s="374" t="s">
        <v>102</v>
      </c>
    </row>
    <row r="271" spans="1:7" ht="24">
      <c r="A271" s="511" t="s">
        <v>301</v>
      </c>
      <c r="B271" s="512"/>
      <c r="C271" s="513"/>
      <c r="D271" s="385">
        <v>0</v>
      </c>
      <c r="E271" s="392">
        <v>580.59</v>
      </c>
      <c r="F271" s="386">
        <v>0</v>
      </c>
      <c r="G271" s="15">
        <f aca="true" t="shared" si="8" ref="G271:G276">D271+E271-F271</f>
        <v>580.59</v>
      </c>
    </row>
    <row r="272" spans="1:7" ht="24">
      <c r="A272" s="371" t="s">
        <v>274</v>
      </c>
      <c r="B272" s="147"/>
      <c r="C272" s="346"/>
      <c r="D272" s="244">
        <v>722447</v>
      </c>
      <c r="E272" s="387">
        <v>2483</v>
      </c>
      <c r="F272" s="388">
        <v>38552</v>
      </c>
      <c r="G272" s="389">
        <f t="shared" si="8"/>
        <v>686378</v>
      </c>
    </row>
    <row r="273" spans="1:7" ht="24">
      <c r="A273" s="371" t="s">
        <v>275</v>
      </c>
      <c r="B273" s="147"/>
      <c r="C273" s="347"/>
      <c r="D273" s="238">
        <v>1592.97</v>
      </c>
      <c r="E273" s="389">
        <v>90.31</v>
      </c>
      <c r="F273" s="238">
        <v>0</v>
      </c>
      <c r="G273" s="389">
        <f t="shared" si="8"/>
        <v>1683.28</v>
      </c>
    </row>
    <row r="274" spans="1:7" ht="24">
      <c r="A274" s="371" t="s">
        <v>217</v>
      </c>
      <c r="B274" s="147"/>
      <c r="C274" s="347"/>
      <c r="D274" s="238">
        <v>1909.09</v>
      </c>
      <c r="E274" s="389">
        <v>108.38</v>
      </c>
      <c r="F274" s="238">
        <v>0</v>
      </c>
      <c r="G274" s="389">
        <f t="shared" si="8"/>
        <v>2017.4699999999998</v>
      </c>
    </row>
    <row r="275" spans="1:7" ht="24">
      <c r="A275" s="372" t="s">
        <v>52</v>
      </c>
      <c r="B275" s="373"/>
      <c r="C275" s="348"/>
      <c r="D275" s="390">
        <v>154947.69</v>
      </c>
      <c r="E275" s="391">
        <v>0</v>
      </c>
      <c r="F275" s="390">
        <v>0</v>
      </c>
      <c r="G275" s="391">
        <f t="shared" si="8"/>
        <v>154947.69</v>
      </c>
    </row>
    <row r="276" spans="1:7" ht="24.75" thickBot="1">
      <c r="A276" s="370"/>
      <c r="B276" s="147"/>
      <c r="C276" s="366"/>
      <c r="D276" s="412">
        <f>D271+D272+D273+D274+D275</f>
        <v>880896.75</v>
      </c>
      <c r="E276" s="276">
        <f>E271+E272+E273+E274+E275</f>
        <v>3262.28</v>
      </c>
      <c r="F276" s="380">
        <f>F271+F272+F273+F274+F275</f>
        <v>38552</v>
      </c>
      <c r="G276" s="413">
        <f t="shared" si="8"/>
        <v>845607.03</v>
      </c>
    </row>
    <row r="277" spans="1:7" ht="24.75" thickTop="1">
      <c r="A277" s="147"/>
      <c r="B277" s="147"/>
      <c r="C277" s="366"/>
      <c r="D277" s="367"/>
      <c r="E277" s="366"/>
      <c r="F277" s="366"/>
      <c r="G277" s="22"/>
    </row>
    <row r="278" spans="1:7" ht="23.25">
      <c r="A278" s="369"/>
      <c r="B278" s="369"/>
      <c r="C278" s="368"/>
      <c r="D278" s="368"/>
      <c r="E278" s="368"/>
      <c r="F278" s="368"/>
      <c r="G278" s="22"/>
    </row>
    <row r="279" spans="1:7" ht="21.75">
      <c r="A279" s="22"/>
      <c r="B279" s="22"/>
      <c r="C279" s="22"/>
      <c r="D279" s="22"/>
      <c r="E279" s="22"/>
      <c r="F279" s="22"/>
      <c r="G279" s="22"/>
    </row>
    <row r="281" spans="1:7" ht="29.25">
      <c r="A281" s="504" t="s">
        <v>279</v>
      </c>
      <c r="B281" s="504"/>
      <c r="C281" s="504"/>
      <c r="D281" s="504"/>
      <c r="E281" s="504"/>
      <c r="F281" s="504"/>
      <c r="G281" s="504"/>
    </row>
    <row r="282" spans="1:7" ht="23.25">
      <c r="A282" s="488" t="s">
        <v>347</v>
      </c>
      <c r="B282" s="488"/>
      <c r="C282" s="488"/>
      <c r="D282" s="488"/>
      <c r="E282" s="488"/>
      <c r="F282" s="488"/>
      <c r="G282" s="488"/>
    </row>
    <row r="283" spans="1:7" ht="23.25">
      <c r="A283" s="365"/>
      <c r="B283" s="365"/>
      <c r="C283" s="365"/>
      <c r="D283" s="365"/>
      <c r="E283" s="365"/>
      <c r="F283" s="365"/>
      <c r="G283" s="365"/>
    </row>
    <row r="284" spans="1:7" ht="21.75">
      <c r="A284" s="462" t="s">
        <v>3</v>
      </c>
      <c r="B284" s="463"/>
      <c r="C284" s="464"/>
      <c r="D284" s="357" t="s">
        <v>283</v>
      </c>
      <c r="E284" s="377" t="s">
        <v>284</v>
      </c>
      <c r="F284" s="356" t="s">
        <v>104</v>
      </c>
      <c r="G284" s="357" t="s">
        <v>102</v>
      </c>
    </row>
    <row r="285" spans="1:7" ht="21.75">
      <c r="A285" s="505" t="s">
        <v>285</v>
      </c>
      <c r="B285" s="506"/>
      <c r="C285" s="507"/>
      <c r="D285" s="379"/>
      <c r="E285" s="378"/>
      <c r="F285" s="376"/>
      <c r="G285" s="378"/>
    </row>
    <row r="286" spans="1:7" ht="21.75">
      <c r="A286" s="3" t="s">
        <v>280</v>
      </c>
      <c r="B286" s="22"/>
      <c r="C286" s="4"/>
      <c r="D286" s="15">
        <v>9500</v>
      </c>
      <c r="E286" s="15">
        <v>9500</v>
      </c>
      <c r="F286" s="12">
        <v>9500</v>
      </c>
      <c r="G286" s="375">
        <f>D286-F286</f>
        <v>0</v>
      </c>
    </row>
    <row r="287" spans="1:7" ht="21.75">
      <c r="A287" s="3"/>
      <c r="B287" s="22"/>
      <c r="C287" s="4"/>
      <c r="D287" s="15"/>
      <c r="E287" s="15"/>
      <c r="F287" s="12"/>
      <c r="G287" s="28"/>
    </row>
    <row r="288" spans="1:7" ht="21.75">
      <c r="A288" s="501" t="s">
        <v>286</v>
      </c>
      <c r="B288" s="502"/>
      <c r="C288" s="503"/>
      <c r="D288" s="15"/>
      <c r="E288" s="15"/>
      <c r="F288" s="12"/>
      <c r="G288" s="28"/>
    </row>
    <row r="289" spans="1:7" ht="21.75">
      <c r="A289" s="3" t="s">
        <v>281</v>
      </c>
      <c r="B289" s="22"/>
      <c r="C289" s="4"/>
      <c r="D289" s="15">
        <v>57162</v>
      </c>
      <c r="E289" s="15">
        <v>57162</v>
      </c>
      <c r="F289" s="12">
        <v>57162</v>
      </c>
      <c r="G289" s="375">
        <f>D289-F289</f>
        <v>0</v>
      </c>
    </row>
    <row r="290" spans="1:7" ht="21.75">
      <c r="A290" s="3" t="s">
        <v>282</v>
      </c>
      <c r="B290" s="22"/>
      <c r="C290" s="4"/>
      <c r="D290" s="15">
        <v>431700</v>
      </c>
      <c r="E290" s="15">
        <v>431534</v>
      </c>
      <c r="F290" s="12">
        <v>431534</v>
      </c>
      <c r="G290" s="375">
        <f>D290-F290</f>
        <v>166</v>
      </c>
    </row>
    <row r="291" spans="1:7" ht="21.75">
      <c r="A291" s="24"/>
      <c r="B291" s="25"/>
      <c r="C291" s="26"/>
      <c r="D291" s="15"/>
      <c r="E291" s="15"/>
      <c r="F291" s="12"/>
      <c r="G291" s="28"/>
    </row>
    <row r="292" spans="4:7" ht="21.75">
      <c r="D292" s="325">
        <f>D286+D289+D290</f>
        <v>498362</v>
      </c>
      <c r="E292" s="325">
        <f>E286+E289+E290</f>
        <v>498196</v>
      </c>
      <c r="F292" s="325">
        <f>F286+F289+F290</f>
        <v>498196</v>
      </c>
      <c r="G292" s="325">
        <f>G286+G289+G290</f>
        <v>166</v>
      </c>
    </row>
  </sheetData>
  <mergeCells count="81">
    <mergeCell ref="A154:C154"/>
    <mergeCell ref="A147:G147"/>
    <mergeCell ref="A148:G148"/>
    <mergeCell ref="A150:C150"/>
    <mergeCell ref="A151:C151"/>
    <mergeCell ref="A134:G134"/>
    <mergeCell ref="A135:G135"/>
    <mergeCell ref="A136:C136"/>
    <mergeCell ref="A137:C137"/>
    <mergeCell ref="A235:G235"/>
    <mergeCell ref="A252:C252"/>
    <mergeCell ref="A255:C255"/>
    <mergeCell ref="A248:G248"/>
    <mergeCell ref="A236:G236"/>
    <mergeCell ref="A249:G249"/>
    <mergeCell ref="A251:C251"/>
    <mergeCell ref="A237:C237"/>
    <mergeCell ref="A238:C238"/>
    <mergeCell ref="A268:G268"/>
    <mergeCell ref="A269:G269"/>
    <mergeCell ref="A270:C270"/>
    <mergeCell ref="A271:C271"/>
    <mergeCell ref="A288:C288"/>
    <mergeCell ref="A281:G281"/>
    <mergeCell ref="A282:G282"/>
    <mergeCell ref="A284:C284"/>
    <mergeCell ref="A285:C285"/>
    <mergeCell ref="A200:G200"/>
    <mergeCell ref="A201:G201"/>
    <mergeCell ref="A202:C202"/>
    <mergeCell ref="A203:C203"/>
    <mergeCell ref="A220:C220"/>
    <mergeCell ref="A213:G213"/>
    <mergeCell ref="A214:G214"/>
    <mergeCell ref="A216:C216"/>
    <mergeCell ref="A217:C217"/>
    <mergeCell ref="A167:G167"/>
    <mergeCell ref="A168:G168"/>
    <mergeCell ref="A169:C169"/>
    <mergeCell ref="A170:C170"/>
    <mergeCell ref="A187:C187"/>
    <mergeCell ref="A180:G180"/>
    <mergeCell ref="A181:G181"/>
    <mergeCell ref="A183:C183"/>
    <mergeCell ref="A184:C184"/>
    <mergeCell ref="A101:G101"/>
    <mergeCell ref="A102:G102"/>
    <mergeCell ref="A103:C103"/>
    <mergeCell ref="A104:C104"/>
    <mergeCell ref="A121:C121"/>
    <mergeCell ref="A114:G114"/>
    <mergeCell ref="A115:G115"/>
    <mergeCell ref="A117:C117"/>
    <mergeCell ref="A118:C118"/>
    <mergeCell ref="A68:G68"/>
    <mergeCell ref="A69:G69"/>
    <mergeCell ref="A70:C70"/>
    <mergeCell ref="A71:C71"/>
    <mergeCell ref="A88:C88"/>
    <mergeCell ref="A81:G81"/>
    <mergeCell ref="A82:G82"/>
    <mergeCell ref="A84:C84"/>
    <mergeCell ref="A85:C85"/>
    <mergeCell ref="A35:G35"/>
    <mergeCell ref="A36:G36"/>
    <mergeCell ref="A37:C37"/>
    <mergeCell ref="A38:C38"/>
    <mergeCell ref="A55:C55"/>
    <mergeCell ref="A48:G48"/>
    <mergeCell ref="A49:G49"/>
    <mergeCell ref="A51:C51"/>
    <mergeCell ref="A52:C52"/>
    <mergeCell ref="A1:G1"/>
    <mergeCell ref="A2:G2"/>
    <mergeCell ref="A3:C3"/>
    <mergeCell ref="A4:C4"/>
    <mergeCell ref="A21:C21"/>
    <mergeCell ref="A14:G14"/>
    <mergeCell ref="A15:G15"/>
    <mergeCell ref="A17:C17"/>
    <mergeCell ref="A18:C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/>
  <dimension ref="A1:H80"/>
  <sheetViews>
    <sheetView workbookViewId="0" topLeftCell="A34">
      <selection activeCell="I45" sqref="I45"/>
    </sheetView>
  </sheetViews>
  <sheetFormatPr defaultColWidth="9.140625" defaultRowHeight="21.75"/>
  <cols>
    <col min="1" max="1" width="4.140625" style="0" customWidth="1"/>
    <col min="2" max="2" width="12.00390625" style="0" customWidth="1"/>
    <col min="3" max="3" width="17.140625" style="0" customWidth="1"/>
    <col min="4" max="4" width="33.28125" style="0" customWidth="1"/>
    <col min="5" max="5" width="11.140625" style="1" customWidth="1"/>
    <col min="6" max="6" width="14.140625" style="12" customWidth="1"/>
    <col min="7" max="7" width="14.28125" style="12" customWidth="1"/>
  </cols>
  <sheetData>
    <row r="1" spans="4:7" ht="26.25">
      <c r="D1" s="16" t="s">
        <v>96</v>
      </c>
      <c r="F1" s="304" t="s">
        <v>193</v>
      </c>
      <c r="G1" s="19"/>
    </row>
    <row r="2" spans="6:7" ht="21.75">
      <c r="F2" s="18" t="s">
        <v>177</v>
      </c>
      <c r="G2" s="20"/>
    </row>
    <row r="3" ht="21.75">
      <c r="B3" s="11" t="s">
        <v>65</v>
      </c>
    </row>
    <row r="4" spans="1:8" s="11" customFormat="1" ht="21.75">
      <c r="A4" s="517" t="s">
        <v>3</v>
      </c>
      <c r="B4" s="518"/>
      <c r="C4" s="518"/>
      <c r="D4" s="519"/>
      <c r="E4" s="55" t="s">
        <v>66</v>
      </c>
      <c r="F4" s="56" t="s">
        <v>60</v>
      </c>
      <c r="G4" s="56" t="s">
        <v>61</v>
      </c>
      <c r="H4" s="236"/>
    </row>
    <row r="5" spans="1:7" ht="24">
      <c r="A5" s="21" t="s">
        <v>67</v>
      </c>
      <c r="B5" s="336" t="s">
        <v>189</v>
      </c>
      <c r="C5" s="9"/>
      <c r="D5" s="7"/>
      <c r="E5" s="156" t="s">
        <v>191</v>
      </c>
      <c r="F5" s="151">
        <v>10650</v>
      </c>
      <c r="G5" s="14"/>
    </row>
    <row r="6" spans="1:7" s="152" customFormat="1" ht="24">
      <c r="A6" s="145"/>
      <c r="B6" s="146" t="s">
        <v>69</v>
      </c>
      <c r="C6" s="147" t="s">
        <v>190</v>
      </c>
      <c r="D6" s="148"/>
      <c r="E6" s="149" t="s">
        <v>58</v>
      </c>
      <c r="F6" s="150"/>
      <c r="G6" s="151">
        <v>10650</v>
      </c>
    </row>
    <row r="7" spans="1:7" ht="21.75">
      <c r="A7" s="3"/>
      <c r="B7" s="22"/>
      <c r="C7" s="22"/>
      <c r="D7" s="4"/>
      <c r="E7" s="13"/>
      <c r="G7" s="15"/>
    </row>
    <row r="8" spans="1:7" ht="21.75">
      <c r="A8" s="3"/>
      <c r="B8" s="22"/>
      <c r="C8" s="22"/>
      <c r="D8" s="4"/>
      <c r="E8" s="10"/>
      <c r="G8" s="15"/>
    </row>
    <row r="9" spans="1:7" ht="21.75">
      <c r="A9" s="3"/>
      <c r="B9" s="22"/>
      <c r="C9" s="22"/>
      <c r="D9" s="4"/>
      <c r="E9" s="10"/>
      <c r="G9" s="15"/>
    </row>
    <row r="10" spans="1:7" ht="21.75">
      <c r="A10" s="3"/>
      <c r="B10" s="22"/>
      <c r="C10" s="22"/>
      <c r="D10" s="4"/>
      <c r="E10" s="13"/>
      <c r="G10" s="15"/>
    </row>
    <row r="11" spans="1:7" ht="21.75">
      <c r="A11" s="3"/>
      <c r="B11" s="22"/>
      <c r="E11" s="13"/>
      <c r="G11" s="15"/>
    </row>
    <row r="12" spans="1:7" ht="21.75">
      <c r="A12" s="3"/>
      <c r="B12" s="22"/>
      <c r="C12" s="22"/>
      <c r="D12" s="4"/>
      <c r="E12" s="10"/>
      <c r="G12" s="15"/>
    </row>
    <row r="13" spans="1:7" ht="21.75">
      <c r="A13" s="3"/>
      <c r="B13" s="22"/>
      <c r="C13" s="22"/>
      <c r="D13" s="4"/>
      <c r="E13" s="10"/>
      <c r="G13" s="15"/>
    </row>
    <row r="14" spans="1:7" ht="21.75">
      <c r="A14" s="3"/>
      <c r="B14" s="22"/>
      <c r="C14" s="22"/>
      <c r="D14" s="4"/>
      <c r="E14" s="10"/>
      <c r="G14" s="15"/>
    </row>
    <row r="15" spans="1:7" ht="21.75">
      <c r="A15" s="3"/>
      <c r="B15" s="22"/>
      <c r="C15" s="22"/>
      <c r="D15" s="4"/>
      <c r="E15" s="10"/>
      <c r="G15" s="15"/>
    </row>
    <row r="16" spans="1:7" ht="21.75">
      <c r="A16" s="3"/>
      <c r="B16" s="22"/>
      <c r="C16" s="22"/>
      <c r="D16" s="4"/>
      <c r="E16" s="10"/>
      <c r="G16" s="15"/>
    </row>
    <row r="17" spans="1:7" ht="21.75">
      <c r="A17" s="3"/>
      <c r="B17" s="22"/>
      <c r="C17" s="22"/>
      <c r="D17" s="4"/>
      <c r="E17" s="10"/>
      <c r="G17" s="15"/>
    </row>
    <row r="18" spans="1:7" ht="21.75">
      <c r="A18" s="3"/>
      <c r="B18" s="22"/>
      <c r="C18" s="22"/>
      <c r="D18" s="4"/>
      <c r="E18" s="10"/>
      <c r="G18" s="15"/>
    </row>
    <row r="19" spans="1:7" ht="16.5" customHeight="1">
      <c r="A19" s="3"/>
      <c r="B19" s="22"/>
      <c r="C19" s="22"/>
      <c r="D19" s="4"/>
      <c r="E19" s="10"/>
      <c r="G19" s="15"/>
    </row>
    <row r="20" spans="1:7" ht="19.5" customHeight="1">
      <c r="A20" s="3"/>
      <c r="B20" s="22"/>
      <c r="C20" s="22"/>
      <c r="D20" s="4"/>
      <c r="E20" s="10"/>
      <c r="G20" s="15"/>
    </row>
    <row r="21" spans="1:7" ht="19.5" customHeight="1">
      <c r="A21" s="3"/>
      <c r="B21" s="22"/>
      <c r="C21" s="22"/>
      <c r="D21" s="4"/>
      <c r="E21" s="10"/>
      <c r="G21" s="15"/>
    </row>
    <row r="22" spans="1:7" ht="21.75">
      <c r="A22" s="24"/>
      <c r="B22" s="25"/>
      <c r="C22" s="25"/>
      <c r="D22" s="26"/>
      <c r="E22" s="5"/>
      <c r="F22" s="324">
        <f>SUM(F5+F21)</f>
        <v>10650</v>
      </c>
      <c r="G22" s="325">
        <f>SUM(G6+G21)</f>
        <v>10650</v>
      </c>
    </row>
    <row r="23" ht="18" customHeight="1"/>
    <row r="24" ht="18.75" customHeight="1">
      <c r="A24" s="11" t="s">
        <v>72</v>
      </c>
    </row>
    <row r="25" ht="18.75" customHeight="1">
      <c r="A25" s="11"/>
    </row>
    <row r="26" ht="21.75">
      <c r="C26" s="33" t="s">
        <v>192</v>
      </c>
    </row>
    <row r="27" ht="21.75">
      <c r="B27" s="313"/>
    </row>
    <row r="32" ht="19.5" customHeight="1"/>
    <row r="33" spans="1:7" s="11" customFormat="1" ht="18.75" customHeight="1">
      <c r="A33" s="514" t="s">
        <v>73</v>
      </c>
      <c r="B33" s="515"/>
      <c r="C33" s="516"/>
      <c r="D33" s="27" t="s">
        <v>74</v>
      </c>
      <c r="E33" s="514" t="s">
        <v>75</v>
      </c>
      <c r="F33" s="515"/>
      <c r="G33" s="516"/>
    </row>
    <row r="34" spans="1:7" ht="21.75">
      <c r="A34" s="3"/>
      <c r="B34" s="22"/>
      <c r="C34" s="4"/>
      <c r="D34" s="28"/>
      <c r="E34" s="2"/>
      <c r="F34" s="17"/>
      <c r="G34" s="29"/>
    </row>
    <row r="35" spans="1:7" ht="20.25" customHeight="1">
      <c r="A35" s="3"/>
      <c r="B35" s="22"/>
      <c r="C35" s="4"/>
      <c r="D35" s="28"/>
      <c r="E35" s="2"/>
      <c r="F35" s="17"/>
      <c r="G35" s="29"/>
    </row>
    <row r="36" spans="1:7" ht="23.25" customHeight="1">
      <c r="A36" s="24"/>
      <c r="B36" s="25"/>
      <c r="C36" s="26"/>
      <c r="D36" s="30"/>
      <c r="E36" s="8"/>
      <c r="F36" s="31"/>
      <c r="G36" s="32"/>
    </row>
    <row r="37" spans="1:7" ht="23.25" customHeight="1">
      <c r="A37" s="22"/>
      <c r="B37" s="22"/>
      <c r="C37" s="22"/>
      <c r="D37" s="22"/>
      <c r="E37" s="154"/>
      <c r="F37" s="17"/>
      <c r="G37" s="17"/>
    </row>
    <row r="38" spans="1:7" ht="23.25" customHeight="1">
      <c r="A38" s="22"/>
      <c r="B38" s="22"/>
      <c r="C38" s="22"/>
      <c r="D38" s="22"/>
      <c r="E38" s="154"/>
      <c r="F38" s="17"/>
      <c r="G38" s="17"/>
    </row>
    <row r="39" spans="4:7" ht="26.25">
      <c r="D39" s="16" t="s">
        <v>96</v>
      </c>
      <c r="F39" s="304" t="s">
        <v>225</v>
      </c>
      <c r="G39" s="19"/>
    </row>
    <row r="40" spans="6:7" ht="21.75">
      <c r="F40" s="304" t="s">
        <v>226</v>
      </c>
      <c r="G40" s="20"/>
    </row>
    <row r="41" ht="21.75">
      <c r="B41" s="11" t="s">
        <v>65</v>
      </c>
    </row>
    <row r="42" spans="1:7" ht="21.75">
      <c r="A42" s="517" t="s">
        <v>3</v>
      </c>
      <c r="B42" s="518"/>
      <c r="C42" s="518"/>
      <c r="D42" s="519"/>
      <c r="E42" s="55" t="s">
        <v>66</v>
      </c>
      <c r="F42" s="56" t="s">
        <v>60</v>
      </c>
      <c r="G42" s="56" t="s">
        <v>61</v>
      </c>
    </row>
    <row r="43" spans="1:7" ht="21.75">
      <c r="A43" s="21" t="s">
        <v>67</v>
      </c>
      <c r="B43" s="22" t="s">
        <v>170</v>
      </c>
      <c r="C43" s="9"/>
      <c r="D43" s="7"/>
      <c r="E43" s="140" t="s">
        <v>214</v>
      </c>
      <c r="F43" s="15">
        <v>1182354.94</v>
      </c>
      <c r="G43" s="14"/>
    </row>
    <row r="44" spans="1:7" ht="21.75">
      <c r="A44" s="144"/>
      <c r="B44" s="22" t="s">
        <v>171</v>
      </c>
      <c r="C44" s="22"/>
      <c r="D44" s="22"/>
      <c r="E44" s="141" t="s">
        <v>214</v>
      </c>
      <c r="F44" s="17">
        <v>63182.52</v>
      </c>
      <c r="G44" s="15"/>
    </row>
    <row r="45" spans="1:7" ht="21.75">
      <c r="A45" s="3"/>
      <c r="B45" s="57" t="s">
        <v>69</v>
      </c>
      <c r="C45" s="22" t="s">
        <v>157</v>
      </c>
      <c r="D45" s="22"/>
      <c r="E45" s="141" t="s">
        <v>215</v>
      </c>
      <c r="G45" s="15">
        <v>1182354.94</v>
      </c>
    </row>
    <row r="46" spans="1:7" ht="21.75">
      <c r="A46" s="3"/>
      <c r="B46" s="23"/>
      <c r="C46" s="22" t="s">
        <v>172</v>
      </c>
      <c r="D46" s="4"/>
      <c r="E46" s="13">
        <v>110201</v>
      </c>
      <c r="G46" s="15">
        <v>63182.52</v>
      </c>
    </row>
    <row r="47" spans="1:7" ht="21.75">
      <c r="A47" s="3"/>
      <c r="B47" s="22"/>
      <c r="C47" s="22"/>
      <c r="D47" s="4"/>
      <c r="E47" s="13"/>
      <c r="G47" s="15"/>
    </row>
    <row r="48" spans="1:7" ht="21.75">
      <c r="A48" s="3"/>
      <c r="B48" s="22"/>
      <c r="C48" s="22"/>
      <c r="D48" s="4"/>
      <c r="E48" s="10"/>
      <c r="G48" s="15"/>
    </row>
    <row r="49" spans="1:7" ht="21.75">
      <c r="A49" s="3"/>
      <c r="B49" s="22"/>
      <c r="C49" s="22"/>
      <c r="D49" s="4"/>
      <c r="E49" s="10"/>
      <c r="G49" s="15"/>
    </row>
    <row r="50" spans="1:7" ht="21.75">
      <c r="A50" s="3"/>
      <c r="B50" s="22"/>
      <c r="C50" s="22"/>
      <c r="D50" s="4"/>
      <c r="E50" s="13"/>
      <c r="G50" s="15"/>
    </row>
    <row r="51" spans="1:7" ht="21.75">
      <c r="A51" s="3"/>
      <c r="B51" s="22"/>
      <c r="C51" s="22"/>
      <c r="D51" s="4"/>
      <c r="E51" s="13"/>
      <c r="G51" s="15"/>
    </row>
    <row r="52" spans="1:7" ht="21.75">
      <c r="A52" s="3"/>
      <c r="B52" s="22"/>
      <c r="C52" s="22"/>
      <c r="D52" s="4"/>
      <c r="E52" s="10"/>
      <c r="G52" s="15"/>
    </row>
    <row r="53" spans="1:7" ht="21.75">
      <c r="A53" s="3"/>
      <c r="B53" s="22"/>
      <c r="C53" s="22"/>
      <c r="D53" s="4"/>
      <c r="E53" s="10"/>
      <c r="G53" s="15"/>
    </row>
    <row r="54" spans="1:7" ht="21.75">
      <c r="A54" s="3"/>
      <c r="B54" s="22"/>
      <c r="C54" s="22"/>
      <c r="D54" s="4"/>
      <c r="E54" s="10"/>
      <c r="G54" s="15"/>
    </row>
    <row r="55" spans="1:7" ht="21.75">
      <c r="A55" s="3"/>
      <c r="B55" s="23"/>
      <c r="E55" s="13"/>
      <c r="G55" s="15"/>
    </row>
    <row r="56" spans="1:7" ht="21.75">
      <c r="A56" s="3"/>
      <c r="B56" s="22"/>
      <c r="E56" s="13"/>
      <c r="G56" s="15"/>
    </row>
    <row r="57" spans="1:7" ht="21.75">
      <c r="A57" s="3"/>
      <c r="B57" s="22"/>
      <c r="C57" s="22"/>
      <c r="D57" s="4"/>
      <c r="E57" s="10"/>
      <c r="G57" s="15"/>
    </row>
    <row r="58" spans="1:7" ht="21.75">
      <c r="A58" s="3"/>
      <c r="B58" s="22"/>
      <c r="C58" s="22"/>
      <c r="D58" s="4"/>
      <c r="E58" s="10"/>
      <c r="G58" s="15"/>
    </row>
    <row r="59" spans="1:7" ht="21.75">
      <c r="A59" s="3"/>
      <c r="B59" s="22"/>
      <c r="C59" s="22"/>
      <c r="D59" s="4"/>
      <c r="E59" s="10"/>
      <c r="G59" s="15"/>
    </row>
    <row r="60" spans="1:7" ht="22.5">
      <c r="A60" s="24"/>
      <c r="B60" s="25"/>
      <c r="C60" s="25"/>
      <c r="D60" s="26"/>
      <c r="E60" s="5"/>
      <c r="F60" s="274">
        <f>SUM(F43:F58)</f>
        <v>1245537.46</v>
      </c>
      <c r="G60" s="275">
        <f>SUM(G43:G58)</f>
        <v>1245537.46</v>
      </c>
    </row>
    <row r="62" ht="21.75">
      <c r="A62" s="11" t="s">
        <v>72</v>
      </c>
    </row>
    <row r="63" ht="21.75">
      <c r="A63" s="11"/>
    </row>
    <row r="64" ht="21.75">
      <c r="C64" t="s">
        <v>163</v>
      </c>
    </row>
    <row r="65" ht="21.75">
      <c r="B65" t="s">
        <v>164</v>
      </c>
    </row>
    <row r="66" spans="3:6" ht="21.75">
      <c r="C66" t="s">
        <v>165</v>
      </c>
      <c r="E66"/>
      <c r="F66" s="1"/>
    </row>
    <row r="67" spans="2:6" ht="21.75">
      <c r="B67" t="s">
        <v>166</v>
      </c>
      <c r="E67"/>
      <c r="F67" s="1"/>
    </row>
    <row r="68" ht="12" customHeight="1"/>
    <row r="69" ht="15" customHeight="1"/>
    <row r="70" ht="8.25" customHeight="1"/>
    <row r="71" spans="1:7" ht="21.75">
      <c r="A71" s="514" t="s">
        <v>73</v>
      </c>
      <c r="B71" s="515"/>
      <c r="C71" s="516"/>
      <c r="D71" s="27" t="s">
        <v>74</v>
      </c>
      <c r="E71" s="514" t="s">
        <v>75</v>
      </c>
      <c r="F71" s="515"/>
      <c r="G71" s="516"/>
    </row>
    <row r="72" spans="1:7" ht="21.75">
      <c r="A72" s="3"/>
      <c r="B72" s="22"/>
      <c r="C72" s="4"/>
      <c r="D72" s="28"/>
      <c r="E72" s="2"/>
      <c r="F72" s="17"/>
      <c r="G72" s="29"/>
    </row>
    <row r="73" spans="1:7" s="22" customFormat="1" ht="21.75">
      <c r="A73" s="3"/>
      <c r="C73" s="4"/>
      <c r="D73" s="28"/>
      <c r="E73" s="154"/>
      <c r="F73" s="17"/>
      <c r="G73" s="29"/>
    </row>
    <row r="74" spans="1:7" s="25" customFormat="1" ht="21.75">
      <c r="A74" s="24"/>
      <c r="C74" s="26"/>
      <c r="D74" s="30"/>
      <c r="E74" s="8"/>
      <c r="F74" s="31"/>
      <c r="G74" s="32"/>
    </row>
    <row r="75" ht="27.75">
      <c r="D75" s="142" t="s">
        <v>121</v>
      </c>
    </row>
    <row r="76" spans="2:4" ht="21.75">
      <c r="B76" s="1" t="s">
        <v>120</v>
      </c>
      <c r="C76" s="26"/>
      <c r="D76" t="s">
        <v>120</v>
      </c>
    </row>
    <row r="77" spans="3:4" ht="21.75">
      <c r="C77" t="s">
        <v>120</v>
      </c>
      <c r="D77" t="s">
        <v>120</v>
      </c>
    </row>
    <row r="79" ht="21.75">
      <c r="C79" t="s">
        <v>120</v>
      </c>
    </row>
    <row r="80" ht="21.75">
      <c r="C80" t="s">
        <v>120</v>
      </c>
    </row>
  </sheetData>
  <mergeCells count="6">
    <mergeCell ref="E71:G71"/>
    <mergeCell ref="A71:C71"/>
    <mergeCell ref="A42:D42"/>
    <mergeCell ref="A4:D4"/>
    <mergeCell ref="A33:C33"/>
    <mergeCell ref="E33:G33"/>
  </mergeCells>
  <printOptions/>
  <pageMargins left="0.35433070866141736" right="0.35433070866141736" top="0.984251968503937" bottom="0.5905511811023623" header="0.5118110236220472" footer="0.5118110236220472"/>
  <pageSetup horizontalDpi="180" verticalDpi="180" orientation="portrait" paperSize="9" scale="98" r:id="rId1"/>
  <rowBreaks count="1" manualBreakCount="1">
    <brk id="38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/>
  <dimension ref="A1:F388"/>
  <sheetViews>
    <sheetView workbookViewId="0" topLeftCell="A23">
      <selection activeCell="F33" sqref="F33"/>
    </sheetView>
  </sheetViews>
  <sheetFormatPr defaultColWidth="9.140625" defaultRowHeight="21.75"/>
  <cols>
    <col min="1" max="1" width="56.7109375" style="105" customWidth="1"/>
    <col min="2" max="2" width="10.8515625" style="106" customWidth="1"/>
    <col min="3" max="3" width="15.57421875" style="72" customWidth="1"/>
    <col min="4" max="4" width="15.8515625" style="72" customWidth="1"/>
    <col min="5" max="5" width="15.421875" style="72" customWidth="1"/>
    <col min="6" max="6" width="15.7109375" style="72" bestFit="1" customWidth="1"/>
    <col min="7" max="8" width="9.140625" style="72" customWidth="1"/>
    <col min="9" max="16384" width="9.140625" style="105" customWidth="1"/>
  </cols>
  <sheetData>
    <row r="1" spans="1:4" ht="24">
      <c r="A1" s="520" t="s">
        <v>244</v>
      </c>
      <c r="B1" s="520"/>
      <c r="C1" s="520"/>
      <c r="D1" s="520"/>
    </row>
    <row r="2" spans="1:4" ht="24">
      <c r="A2" s="520" t="s">
        <v>62</v>
      </c>
      <c r="B2" s="520"/>
      <c r="C2" s="520"/>
      <c r="D2" s="520"/>
    </row>
    <row r="3" spans="1:4" ht="24">
      <c r="A3" s="521" t="s">
        <v>414</v>
      </c>
      <c r="B3" s="521"/>
      <c r="C3" s="521"/>
      <c r="D3" s="521"/>
    </row>
    <row r="5" spans="1:4" ht="24">
      <c r="A5" s="220" t="s">
        <v>59</v>
      </c>
      <c r="B5" s="108" t="s">
        <v>4</v>
      </c>
      <c r="C5" s="110" t="s">
        <v>60</v>
      </c>
      <c r="D5" s="110" t="s">
        <v>61</v>
      </c>
    </row>
    <row r="6" spans="1:4" ht="24">
      <c r="A6" s="221"/>
      <c r="B6" s="112" t="s">
        <v>5</v>
      </c>
      <c r="C6" s="114"/>
      <c r="D6" s="114"/>
    </row>
    <row r="7" spans="1:4" ht="24">
      <c r="A7" s="449" t="s">
        <v>37</v>
      </c>
      <c r="B7" s="115" t="s">
        <v>53</v>
      </c>
      <c r="C7" s="448">
        <v>0</v>
      </c>
      <c r="D7" s="104"/>
    </row>
    <row r="8" spans="1:4" ht="24">
      <c r="A8" s="105" t="s">
        <v>306</v>
      </c>
      <c r="B8" s="115" t="s">
        <v>55</v>
      </c>
      <c r="C8" s="73">
        <v>38813.94</v>
      </c>
      <c r="D8" s="74"/>
    </row>
    <row r="9" spans="1:4" ht="24">
      <c r="A9" s="105" t="s">
        <v>307</v>
      </c>
      <c r="B9" s="115" t="s">
        <v>56</v>
      </c>
      <c r="C9" s="72">
        <v>434257.05</v>
      </c>
      <c r="D9" s="74"/>
    </row>
    <row r="10" spans="1:4" ht="24">
      <c r="A10" s="105" t="s">
        <v>308</v>
      </c>
      <c r="B10" s="115" t="s">
        <v>56</v>
      </c>
      <c r="C10" s="72">
        <v>10031179.21</v>
      </c>
      <c r="D10" s="74"/>
    </row>
    <row r="11" spans="1:4" ht="24">
      <c r="A11" s="105" t="s">
        <v>309</v>
      </c>
      <c r="B11" s="115" t="s">
        <v>56</v>
      </c>
      <c r="C11" s="72">
        <v>150762.06</v>
      </c>
      <c r="D11" s="74"/>
    </row>
    <row r="12" spans="1:4" ht="24">
      <c r="A12" s="105" t="s">
        <v>305</v>
      </c>
      <c r="B12" s="115" t="s">
        <v>58</v>
      </c>
      <c r="C12" s="72">
        <v>6128</v>
      </c>
      <c r="D12" s="74"/>
    </row>
    <row r="13" spans="1:4" ht="24">
      <c r="A13" s="105" t="s">
        <v>362</v>
      </c>
      <c r="B13" s="115"/>
      <c r="C13" s="72">
        <v>0</v>
      </c>
      <c r="D13" s="74"/>
    </row>
    <row r="14" spans="1:4" ht="24">
      <c r="A14" s="105" t="s">
        <v>154</v>
      </c>
      <c r="B14" s="116"/>
      <c r="C14" s="72">
        <v>45495.43</v>
      </c>
      <c r="D14" s="74"/>
    </row>
    <row r="15" spans="1:4" ht="24">
      <c r="A15" s="105" t="s">
        <v>45</v>
      </c>
      <c r="B15" s="115" t="s">
        <v>312</v>
      </c>
      <c r="C15" s="72">
        <v>1144536.1</v>
      </c>
      <c r="D15" s="74"/>
    </row>
    <row r="16" spans="1:4" ht="24">
      <c r="A16" s="105" t="s">
        <v>46</v>
      </c>
      <c r="B16" s="116">
        <v>100</v>
      </c>
      <c r="C16" s="72">
        <v>2183472</v>
      </c>
      <c r="D16" s="74"/>
    </row>
    <row r="17" spans="1:4" ht="24">
      <c r="A17" s="105" t="s">
        <v>310</v>
      </c>
      <c r="B17" s="116">
        <v>120</v>
      </c>
      <c r="C17" s="72">
        <v>187830</v>
      </c>
      <c r="D17" s="74"/>
    </row>
    <row r="18" spans="1:4" ht="24">
      <c r="A18" s="105" t="s">
        <v>311</v>
      </c>
      <c r="B18" s="116">
        <v>130</v>
      </c>
      <c r="C18" s="72">
        <v>505440</v>
      </c>
      <c r="D18" s="74"/>
    </row>
    <row r="19" spans="1:4" ht="24">
      <c r="A19" s="105" t="s">
        <v>47</v>
      </c>
      <c r="B19" s="116">
        <v>200</v>
      </c>
      <c r="C19" s="72">
        <v>282168</v>
      </c>
      <c r="D19" s="74"/>
    </row>
    <row r="20" spans="1:4" ht="24">
      <c r="A20" s="105" t="s">
        <v>48</v>
      </c>
      <c r="B20" s="116">
        <v>250</v>
      </c>
      <c r="C20" s="72">
        <v>638910.91</v>
      </c>
      <c r="D20" s="74"/>
    </row>
    <row r="21" spans="1:4" ht="24">
      <c r="A21" s="105" t="s">
        <v>49</v>
      </c>
      <c r="B21" s="116">
        <v>270</v>
      </c>
      <c r="C21" s="72">
        <v>804084.86</v>
      </c>
      <c r="D21" s="74"/>
    </row>
    <row r="22" spans="1:4" ht="24">
      <c r="A22" s="105" t="s">
        <v>50</v>
      </c>
      <c r="B22" s="116">
        <v>300</v>
      </c>
      <c r="C22" s="72">
        <v>73334.83</v>
      </c>
      <c r="D22" s="74"/>
    </row>
    <row r="23" spans="1:4" ht="24">
      <c r="A23" s="105" t="s">
        <v>114</v>
      </c>
      <c r="B23" s="116">
        <v>400</v>
      </c>
      <c r="C23" s="73">
        <v>1197300</v>
      </c>
      <c r="D23" s="74"/>
    </row>
    <row r="24" spans="1:4" ht="24">
      <c r="A24" s="105" t="s">
        <v>51</v>
      </c>
      <c r="B24" s="116">
        <v>450</v>
      </c>
      <c r="C24" s="73">
        <v>0</v>
      </c>
      <c r="D24" s="74"/>
    </row>
    <row r="25" spans="1:4" ht="24">
      <c r="A25" s="105" t="s">
        <v>115</v>
      </c>
      <c r="B25" s="116">
        <v>500</v>
      </c>
      <c r="C25" s="73">
        <v>0</v>
      </c>
      <c r="D25" s="74"/>
    </row>
    <row r="26" spans="1:4" ht="24">
      <c r="A26" s="105" t="s">
        <v>167</v>
      </c>
      <c r="B26" s="115">
        <v>550</v>
      </c>
      <c r="C26" s="73">
        <v>564550</v>
      </c>
      <c r="D26" s="74"/>
    </row>
    <row r="27" spans="1:4" ht="24">
      <c r="A27" s="105" t="s">
        <v>313</v>
      </c>
      <c r="B27" s="116"/>
      <c r="D27" s="74">
        <f>'หมายเหตุ 1'!H30</f>
        <v>13366312.010000002</v>
      </c>
    </row>
    <row r="28" spans="1:4" ht="24">
      <c r="A28" s="234" t="s">
        <v>99</v>
      </c>
      <c r="B28" s="116"/>
      <c r="D28" s="74">
        <f>'หมายเหตุ 2,3 '!G9</f>
        <v>852491.8400000001</v>
      </c>
    </row>
    <row r="29" spans="1:4" ht="24">
      <c r="A29" s="105" t="s">
        <v>314</v>
      </c>
      <c r="B29" s="116"/>
      <c r="D29" s="74">
        <v>166</v>
      </c>
    </row>
    <row r="30" spans="1:4" ht="24">
      <c r="A30" s="105" t="s">
        <v>315</v>
      </c>
      <c r="B30" s="116"/>
      <c r="D30" s="74">
        <v>0</v>
      </c>
    </row>
    <row r="31" spans="1:4" ht="24">
      <c r="A31" s="105" t="s">
        <v>316</v>
      </c>
      <c r="B31" s="116"/>
      <c r="D31" s="74">
        <v>0</v>
      </c>
    </row>
    <row r="32" spans="1:4" ht="24">
      <c r="A32" s="105" t="s">
        <v>317</v>
      </c>
      <c r="B32" s="116"/>
      <c r="D32" s="74">
        <f>'หมายเหต 6'!J246</f>
        <v>173170</v>
      </c>
    </row>
    <row r="33" spans="1:4" ht="24">
      <c r="A33" s="105" t="s">
        <v>19</v>
      </c>
      <c r="B33" s="116"/>
      <c r="D33" s="74">
        <v>620969.51</v>
      </c>
    </row>
    <row r="34" spans="1:4" ht="24">
      <c r="A34" s="105" t="s">
        <v>116</v>
      </c>
      <c r="B34" s="116"/>
      <c r="D34" s="74">
        <v>3275153.03</v>
      </c>
    </row>
    <row r="35" spans="2:4" ht="24.75" thickBot="1">
      <c r="B35" s="116"/>
      <c r="C35" s="271">
        <f>SUM(C7:C28)</f>
        <v>18288262.39</v>
      </c>
      <c r="D35" s="271">
        <f>SUM(D27:D34)</f>
        <v>18288262.39</v>
      </c>
    </row>
    <row r="36" ht="24.75" thickTop="1"/>
    <row r="41" spans="1:4" ht="24">
      <c r="A41" s="520" t="s">
        <v>244</v>
      </c>
      <c r="B41" s="520"/>
      <c r="C41" s="520"/>
      <c r="D41" s="520"/>
    </row>
    <row r="42" spans="1:4" ht="24">
      <c r="A42" s="520" t="s">
        <v>62</v>
      </c>
      <c r="B42" s="520"/>
      <c r="C42" s="520"/>
      <c r="D42" s="520"/>
    </row>
    <row r="43" spans="1:4" ht="24">
      <c r="A43" s="521" t="s">
        <v>407</v>
      </c>
      <c r="B43" s="521"/>
      <c r="C43" s="521"/>
      <c r="D43" s="521"/>
    </row>
    <row r="45" spans="1:4" ht="24">
      <c r="A45" s="220" t="s">
        <v>59</v>
      </c>
      <c r="B45" s="108" t="s">
        <v>4</v>
      </c>
      <c r="C45" s="110" t="s">
        <v>60</v>
      </c>
      <c r="D45" s="110" t="s">
        <v>61</v>
      </c>
    </row>
    <row r="46" spans="1:4" ht="24">
      <c r="A46" s="221"/>
      <c r="B46" s="112" t="s">
        <v>5</v>
      </c>
      <c r="C46" s="114"/>
      <c r="D46" s="114"/>
    </row>
    <row r="47" spans="1:4" ht="24">
      <c r="A47" s="449" t="s">
        <v>37</v>
      </c>
      <c r="B47" s="115" t="s">
        <v>53</v>
      </c>
      <c r="C47" s="448">
        <v>0</v>
      </c>
      <c r="D47" s="104"/>
    </row>
    <row r="48" spans="1:4" ht="24">
      <c r="A48" s="105" t="s">
        <v>306</v>
      </c>
      <c r="B48" s="115" t="s">
        <v>55</v>
      </c>
      <c r="C48" s="73">
        <v>437334.68</v>
      </c>
      <c r="D48" s="74"/>
    </row>
    <row r="49" spans="1:4" ht="24">
      <c r="A49" s="105" t="s">
        <v>307</v>
      </c>
      <c r="B49" s="115" t="s">
        <v>56</v>
      </c>
      <c r="C49" s="72">
        <v>274512.48</v>
      </c>
      <c r="D49" s="74"/>
    </row>
    <row r="50" spans="1:4" ht="24">
      <c r="A50" s="105" t="s">
        <v>308</v>
      </c>
      <c r="B50" s="115" t="s">
        <v>56</v>
      </c>
      <c r="C50" s="72">
        <v>12043072.35</v>
      </c>
      <c r="D50" s="74"/>
    </row>
    <row r="51" spans="1:4" ht="24">
      <c r="A51" s="105" t="s">
        <v>309</v>
      </c>
      <c r="B51" s="115" t="s">
        <v>56</v>
      </c>
      <c r="C51" s="72">
        <v>210762.06</v>
      </c>
      <c r="D51" s="74"/>
    </row>
    <row r="52" spans="1:4" ht="24">
      <c r="A52" s="105" t="s">
        <v>305</v>
      </c>
      <c r="B52" s="115" t="s">
        <v>58</v>
      </c>
      <c r="C52" s="72">
        <v>7712</v>
      </c>
      <c r="D52" s="74"/>
    </row>
    <row r="53" spans="1:4" ht="24">
      <c r="A53" s="105" t="s">
        <v>362</v>
      </c>
      <c r="B53" s="115"/>
      <c r="C53" s="72">
        <v>277500</v>
      </c>
      <c r="D53" s="74"/>
    </row>
    <row r="54" spans="1:4" ht="24">
      <c r="A54" s="105" t="s">
        <v>154</v>
      </c>
      <c r="B54" s="116"/>
      <c r="C54" s="72">
        <v>45495.43</v>
      </c>
      <c r="D54" s="74"/>
    </row>
    <row r="55" spans="1:4" ht="24">
      <c r="A55" s="105" t="s">
        <v>45</v>
      </c>
      <c r="B55" s="115" t="s">
        <v>312</v>
      </c>
      <c r="C55" s="72">
        <f>191453.1+874586</f>
        <v>1066039.1</v>
      </c>
      <c r="D55" s="74"/>
    </row>
    <row r="56" spans="1:4" ht="24">
      <c r="A56" s="105" t="s">
        <v>46</v>
      </c>
      <c r="B56" s="116">
        <v>100</v>
      </c>
      <c r="C56" s="72">
        <v>1944796</v>
      </c>
      <c r="D56" s="74"/>
    </row>
    <row r="57" spans="1:4" ht="24">
      <c r="A57" s="105" t="s">
        <v>310</v>
      </c>
      <c r="B57" s="116">
        <v>120</v>
      </c>
      <c r="C57" s="72">
        <v>166740</v>
      </c>
      <c r="D57" s="74"/>
    </row>
    <row r="58" spans="1:4" ht="24">
      <c r="A58" s="105" t="s">
        <v>311</v>
      </c>
      <c r="B58" s="116">
        <v>130</v>
      </c>
      <c r="C58" s="72">
        <v>449280</v>
      </c>
      <c r="D58" s="74"/>
    </row>
    <row r="59" spans="1:4" ht="24">
      <c r="A59" s="105" t="s">
        <v>47</v>
      </c>
      <c r="B59" s="116">
        <v>200</v>
      </c>
      <c r="C59" s="72">
        <v>254432</v>
      </c>
      <c r="D59" s="74"/>
    </row>
    <row r="60" spans="1:4" ht="24">
      <c r="A60" s="105" t="s">
        <v>48</v>
      </c>
      <c r="B60" s="116">
        <v>250</v>
      </c>
      <c r="C60" s="72">
        <f>46279.91+447081</f>
        <v>493360.91000000003</v>
      </c>
      <c r="D60" s="74"/>
    </row>
    <row r="61" spans="1:4" ht="24">
      <c r="A61" s="105" t="s">
        <v>49</v>
      </c>
      <c r="B61" s="116">
        <v>270</v>
      </c>
      <c r="C61" s="72">
        <v>789801.61</v>
      </c>
      <c r="D61" s="74"/>
    </row>
    <row r="62" spans="1:4" ht="24">
      <c r="A62" s="105" t="s">
        <v>50</v>
      </c>
      <c r="B62" s="116">
        <v>300</v>
      </c>
      <c r="C62" s="72">
        <v>62928.66</v>
      </c>
      <c r="D62" s="74"/>
    </row>
    <row r="63" spans="1:4" ht="24">
      <c r="A63" s="105" t="s">
        <v>114</v>
      </c>
      <c r="B63" s="116">
        <v>400</v>
      </c>
      <c r="C63" s="73">
        <v>718200</v>
      </c>
      <c r="D63" s="74"/>
    </row>
    <row r="64" spans="1:4" ht="24">
      <c r="A64" s="105" t="s">
        <v>51</v>
      </c>
      <c r="B64" s="116">
        <v>450</v>
      </c>
      <c r="C64" s="73">
        <v>0</v>
      </c>
      <c r="D64" s="74"/>
    </row>
    <row r="65" spans="1:4" ht="24">
      <c r="A65" s="105" t="s">
        <v>115</v>
      </c>
      <c r="B65" s="116">
        <v>500</v>
      </c>
      <c r="C65" s="73">
        <v>0</v>
      </c>
      <c r="D65" s="74"/>
    </row>
    <row r="66" spans="1:4" ht="24">
      <c r="A66" s="105" t="s">
        <v>167</v>
      </c>
      <c r="B66" s="115">
        <v>550</v>
      </c>
      <c r="C66" s="73">
        <v>564550</v>
      </c>
      <c r="D66" s="74"/>
    </row>
    <row r="67" spans="1:4" ht="24">
      <c r="A67" s="105" t="s">
        <v>313</v>
      </c>
      <c r="B67" s="116"/>
      <c r="D67" s="74">
        <v>12991376.36</v>
      </c>
    </row>
    <row r="68" spans="1:4" ht="24">
      <c r="A68" s="234" t="s">
        <v>99</v>
      </c>
      <c r="B68" s="116"/>
      <c r="D68" s="74">
        <v>901564.38</v>
      </c>
    </row>
    <row r="69" spans="1:4" ht="24">
      <c r="A69" s="105" t="s">
        <v>314</v>
      </c>
      <c r="B69" s="116"/>
      <c r="D69" s="74">
        <v>166</v>
      </c>
    </row>
    <row r="70" spans="1:4" ht="24">
      <c r="A70" s="105" t="s">
        <v>315</v>
      </c>
      <c r="B70" s="116"/>
      <c r="D70" s="74">
        <v>0</v>
      </c>
    </row>
    <row r="71" spans="1:4" ht="24">
      <c r="A71" s="105" t="s">
        <v>316</v>
      </c>
      <c r="B71" s="116"/>
      <c r="D71" s="74">
        <v>0</v>
      </c>
    </row>
    <row r="72" spans="1:4" ht="24">
      <c r="A72" s="105" t="s">
        <v>317</v>
      </c>
      <c r="B72" s="116"/>
      <c r="D72" s="74">
        <v>2017288</v>
      </c>
    </row>
    <row r="73" spans="1:4" ht="24">
      <c r="A73" s="105" t="s">
        <v>19</v>
      </c>
      <c r="B73" s="116"/>
      <c r="D73" s="74">
        <v>620969.51</v>
      </c>
    </row>
    <row r="74" spans="1:4" ht="24">
      <c r="A74" s="105" t="s">
        <v>116</v>
      </c>
      <c r="B74" s="116"/>
      <c r="D74" s="74">
        <v>3275153.03</v>
      </c>
    </row>
    <row r="75" spans="2:4" ht="24.75" thickBot="1">
      <c r="B75" s="116"/>
      <c r="C75" s="271">
        <f>SUM(C47:C68)</f>
        <v>19806517.28</v>
      </c>
      <c r="D75" s="271">
        <f>SUM(D67:D74)</f>
        <v>19806517.28</v>
      </c>
    </row>
    <row r="76" ht="24.75" thickTop="1"/>
    <row r="81" spans="1:4" ht="24">
      <c r="A81" s="520" t="s">
        <v>244</v>
      </c>
      <c r="B81" s="520"/>
      <c r="C81" s="520"/>
      <c r="D81" s="520"/>
    </row>
    <row r="82" spans="1:4" ht="24">
      <c r="A82" s="520" t="s">
        <v>62</v>
      </c>
      <c r="B82" s="520"/>
      <c r="C82" s="520"/>
      <c r="D82" s="520"/>
    </row>
    <row r="83" spans="1:4" ht="24">
      <c r="A83" s="521" t="s">
        <v>400</v>
      </c>
      <c r="B83" s="521"/>
      <c r="C83" s="521"/>
      <c r="D83" s="521"/>
    </row>
    <row r="85" spans="1:4" ht="24">
      <c r="A85" s="220" t="s">
        <v>59</v>
      </c>
      <c r="B85" s="108" t="s">
        <v>4</v>
      </c>
      <c r="C85" s="110" t="s">
        <v>60</v>
      </c>
      <c r="D85" s="110" t="s">
        <v>61</v>
      </c>
    </row>
    <row r="86" spans="1:4" ht="24">
      <c r="A86" s="221"/>
      <c r="B86" s="112" t="s">
        <v>5</v>
      </c>
      <c r="C86" s="114"/>
      <c r="D86" s="114"/>
    </row>
    <row r="87" spans="1:4" ht="24">
      <c r="A87" s="449" t="s">
        <v>37</v>
      </c>
      <c r="B87" s="115" t="s">
        <v>53</v>
      </c>
      <c r="C87" s="448">
        <v>0</v>
      </c>
      <c r="D87" s="104"/>
    </row>
    <row r="88" spans="1:4" ht="24">
      <c r="A88" s="105" t="s">
        <v>306</v>
      </c>
      <c r="B88" s="115" t="s">
        <v>55</v>
      </c>
      <c r="C88" s="73">
        <v>400761.8</v>
      </c>
      <c r="D88" s="74"/>
    </row>
    <row r="89" spans="1:4" ht="24">
      <c r="A89" s="105" t="s">
        <v>307</v>
      </c>
      <c r="B89" s="115" t="s">
        <v>56</v>
      </c>
      <c r="C89" s="72">
        <v>426350.48</v>
      </c>
      <c r="D89" s="74"/>
    </row>
    <row r="90" spans="1:4" ht="24">
      <c r="A90" s="105" t="s">
        <v>308</v>
      </c>
      <c r="B90" s="115" t="s">
        <v>56</v>
      </c>
      <c r="C90" s="72">
        <v>10563120.63</v>
      </c>
      <c r="D90" s="74"/>
    </row>
    <row r="91" spans="1:4" ht="24">
      <c r="A91" s="105" t="s">
        <v>309</v>
      </c>
      <c r="B91" s="115" t="s">
        <v>56</v>
      </c>
      <c r="C91" s="72">
        <v>204758.36</v>
      </c>
      <c r="D91" s="74"/>
    </row>
    <row r="92" spans="1:4" ht="24">
      <c r="A92" s="105" t="s">
        <v>305</v>
      </c>
      <c r="B92" s="115" t="s">
        <v>58</v>
      </c>
      <c r="C92" s="72">
        <v>9660</v>
      </c>
      <c r="D92" s="74"/>
    </row>
    <row r="93" spans="1:4" ht="24">
      <c r="A93" s="105" t="s">
        <v>362</v>
      </c>
      <c r="B93" s="115"/>
      <c r="C93" s="72">
        <v>50000</v>
      </c>
      <c r="D93" s="74"/>
    </row>
    <row r="94" spans="1:4" ht="24">
      <c r="A94" s="105" t="s">
        <v>154</v>
      </c>
      <c r="B94" s="116"/>
      <c r="C94" s="72">
        <v>45495.43</v>
      </c>
      <c r="D94" s="74"/>
    </row>
    <row r="95" spans="1:4" ht="24">
      <c r="A95" s="105" t="s">
        <v>45</v>
      </c>
      <c r="B95" s="115" t="s">
        <v>312</v>
      </c>
      <c r="C95" s="72">
        <v>874586</v>
      </c>
      <c r="D95" s="74"/>
    </row>
    <row r="96" spans="1:4" ht="24">
      <c r="A96" s="105" t="s">
        <v>46</v>
      </c>
      <c r="B96" s="116">
        <v>100</v>
      </c>
      <c r="C96" s="72">
        <v>1702418</v>
      </c>
      <c r="D96" s="74"/>
    </row>
    <row r="97" spans="1:4" ht="24">
      <c r="A97" s="105" t="s">
        <v>310</v>
      </c>
      <c r="B97" s="116">
        <v>120</v>
      </c>
      <c r="C97" s="72">
        <v>145650</v>
      </c>
      <c r="D97" s="74"/>
    </row>
    <row r="98" spans="1:4" ht="24">
      <c r="A98" s="105" t="s">
        <v>311</v>
      </c>
      <c r="B98" s="116">
        <v>130</v>
      </c>
      <c r="C98" s="72">
        <v>393120</v>
      </c>
      <c r="D98" s="74"/>
    </row>
    <row r="99" spans="1:4" ht="24">
      <c r="A99" s="105" t="s">
        <v>47</v>
      </c>
      <c r="B99" s="116">
        <v>200</v>
      </c>
      <c r="C99" s="72">
        <v>238652</v>
      </c>
      <c r="D99" s="74"/>
    </row>
    <row r="100" spans="1:4" ht="24">
      <c r="A100" s="105" t="s">
        <v>48</v>
      </c>
      <c r="B100" s="116">
        <v>250</v>
      </c>
      <c r="C100" s="72">
        <v>447081</v>
      </c>
      <c r="D100" s="74"/>
    </row>
    <row r="101" spans="1:4" ht="24">
      <c r="A101" s="105" t="s">
        <v>49</v>
      </c>
      <c r="B101" s="116">
        <v>270</v>
      </c>
      <c r="C101" s="72">
        <v>730805.03</v>
      </c>
      <c r="D101" s="74"/>
    </row>
    <row r="102" spans="1:4" ht="24">
      <c r="A102" s="105" t="s">
        <v>50</v>
      </c>
      <c r="B102" s="116">
        <v>300</v>
      </c>
      <c r="C102" s="72">
        <v>54513.9</v>
      </c>
      <c r="D102" s="74"/>
    </row>
    <row r="103" spans="1:4" ht="24">
      <c r="A103" s="105" t="s">
        <v>114</v>
      </c>
      <c r="B103" s="116">
        <v>400</v>
      </c>
      <c r="C103" s="73">
        <v>671200</v>
      </c>
      <c r="D103" s="74"/>
    </row>
    <row r="104" spans="1:4" ht="24">
      <c r="A104" s="105" t="s">
        <v>51</v>
      </c>
      <c r="B104" s="116">
        <v>450</v>
      </c>
      <c r="C104" s="73">
        <v>0</v>
      </c>
      <c r="D104" s="74"/>
    </row>
    <row r="105" spans="1:4" ht="24">
      <c r="A105" s="105" t="s">
        <v>115</v>
      </c>
      <c r="B105" s="116">
        <v>500</v>
      </c>
      <c r="C105" s="73">
        <v>0</v>
      </c>
      <c r="D105" s="74"/>
    </row>
    <row r="106" spans="1:4" ht="24">
      <c r="A106" s="105" t="s">
        <v>167</v>
      </c>
      <c r="B106" s="115">
        <v>550</v>
      </c>
      <c r="C106" s="73">
        <v>395672</v>
      </c>
      <c r="D106" s="74"/>
    </row>
    <row r="107" spans="1:4" ht="24">
      <c r="A107" s="105" t="s">
        <v>313</v>
      </c>
      <c r="B107" s="116"/>
      <c r="D107" s="74">
        <f>'หมายเหตุ 1'!H98</f>
        <v>11775888.530000001</v>
      </c>
    </row>
    <row r="108" spans="1:4" ht="24">
      <c r="A108" s="234" t="s">
        <v>99</v>
      </c>
      <c r="B108" s="116"/>
      <c r="D108" s="74">
        <f>'หมายเหตุ 2,3 '!G76</f>
        <v>898813.5599999999</v>
      </c>
    </row>
    <row r="109" spans="1:4" ht="24">
      <c r="A109" s="105" t="s">
        <v>314</v>
      </c>
      <c r="B109" s="116"/>
      <c r="D109" s="74">
        <v>166</v>
      </c>
    </row>
    <row r="110" spans="1:4" ht="24">
      <c r="A110" s="105" t="s">
        <v>315</v>
      </c>
      <c r="B110" s="116"/>
      <c r="D110" s="74">
        <v>0</v>
      </c>
    </row>
    <row r="111" spans="1:4" ht="24">
      <c r="A111" s="105" t="s">
        <v>316</v>
      </c>
      <c r="B111" s="116"/>
      <c r="D111" s="74">
        <v>0</v>
      </c>
    </row>
    <row r="112" spans="1:4" ht="24">
      <c r="A112" s="105" t="s">
        <v>317</v>
      </c>
      <c r="B112" s="116"/>
      <c r="D112" s="74">
        <f>'หมายเหต 6'!J147</f>
        <v>782854</v>
      </c>
    </row>
    <row r="113" spans="1:4" ht="24">
      <c r="A113" s="105" t="s">
        <v>19</v>
      </c>
      <c r="B113" s="116"/>
      <c r="D113" s="74">
        <v>620969.51</v>
      </c>
    </row>
    <row r="114" spans="1:4" ht="24">
      <c r="A114" s="105" t="s">
        <v>116</v>
      </c>
      <c r="B114" s="116"/>
      <c r="D114" s="74">
        <v>3275153.03</v>
      </c>
    </row>
    <row r="115" spans="2:4" ht="24.75" thickBot="1">
      <c r="B115" s="116"/>
      <c r="C115" s="271">
        <f>SUM(C87:C108)</f>
        <v>17353844.63</v>
      </c>
      <c r="D115" s="271">
        <f>SUM(D107:D114)</f>
        <v>17353844.630000003</v>
      </c>
    </row>
    <row r="116" ht="24.75" thickTop="1"/>
    <row r="121" spans="1:4" ht="24">
      <c r="A121" s="520" t="s">
        <v>244</v>
      </c>
      <c r="B121" s="520"/>
      <c r="C121" s="520"/>
      <c r="D121" s="520"/>
    </row>
    <row r="122" spans="1:4" ht="24">
      <c r="A122" s="520" t="s">
        <v>62</v>
      </c>
      <c r="B122" s="520"/>
      <c r="C122" s="520"/>
      <c r="D122" s="520"/>
    </row>
    <row r="123" spans="1:4" ht="24">
      <c r="A123" s="521" t="s">
        <v>395</v>
      </c>
      <c r="B123" s="521"/>
      <c r="C123" s="521"/>
      <c r="D123" s="521"/>
    </row>
    <row r="125" spans="1:4" ht="24">
      <c r="A125" s="220" t="s">
        <v>59</v>
      </c>
      <c r="B125" s="108" t="s">
        <v>4</v>
      </c>
      <c r="C125" s="110" t="s">
        <v>60</v>
      </c>
      <c r="D125" s="110" t="s">
        <v>61</v>
      </c>
    </row>
    <row r="126" spans="1:4" ht="24">
      <c r="A126" s="221"/>
      <c r="B126" s="112" t="s">
        <v>5</v>
      </c>
      <c r="C126" s="114"/>
      <c r="D126" s="114"/>
    </row>
    <row r="127" spans="1:4" ht="24">
      <c r="A127" s="449" t="s">
        <v>37</v>
      </c>
      <c r="B127" s="115" t="s">
        <v>53</v>
      </c>
      <c r="C127" s="448">
        <v>0</v>
      </c>
      <c r="D127" s="104"/>
    </row>
    <row r="128" spans="1:4" ht="24">
      <c r="A128" s="105" t="s">
        <v>306</v>
      </c>
      <c r="B128" s="115" t="s">
        <v>55</v>
      </c>
      <c r="C128" s="73">
        <v>789776</v>
      </c>
      <c r="D128" s="74"/>
    </row>
    <row r="129" spans="1:4" ht="24">
      <c r="A129" s="105" t="s">
        <v>307</v>
      </c>
      <c r="B129" s="115" t="s">
        <v>56</v>
      </c>
      <c r="C129" s="72">
        <v>583780.48</v>
      </c>
      <c r="D129" s="74"/>
    </row>
    <row r="130" spans="1:4" ht="24">
      <c r="A130" s="105" t="s">
        <v>308</v>
      </c>
      <c r="B130" s="115" t="s">
        <v>56</v>
      </c>
      <c r="C130" s="72">
        <v>11148814.1</v>
      </c>
      <c r="D130" s="74"/>
    </row>
    <row r="131" spans="1:4" ht="24">
      <c r="A131" s="105" t="s">
        <v>309</v>
      </c>
      <c r="B131" s="115" t="s">
        <v>56</v>
      </c>
      <c r="C131" s="72">
        <v>195751.78</v>
      </c>
      <c r="D131" s="74"/>
    </row>
    <row r="132" spans="1:4" ht="24">
      <c r="A132" s="105" t="s">
        <v>305</v>
      </c>
      <c r="B132" s="115" t="s">
        <v>58</v>
      </c>
      <c r="C132" s="72">
        <v>5148</v>
      </c>
      <c r="D132" s="74"/>
    </row>
    <row r="133" spans="1:4" ht="24">
      <c r="A133" s="105" t="s">
        <v>362</v>
      </c>
      <c r="B133" s="115"/>
      <c r="C133" s="72">
        <v>0</v>
      </c>
      <c r="D133" s="74"/>
    </row>
    <row r="134" spans="1:4" ht="24">
      <c r="A134" s="105" t="s">
        <v>154</v>
      </c>
      <c r="B134" s="116"/>
      <c r="C134" s="72">
        <v>45495.43</v>
      </c>
      <c r="D134" s="74"/>
    </row>
    <row r="135" spans="1:4" ht="24">
      <c r="A135" s="105" t="s">
        <v>45</v>
      </c>
      <c r="B135" s="115" t="s">
        <v>312</v>
      </c>
      <c r="C135" s="72">
        <v>795920</v>
      </c>
      <c r="D135" s="74"/>
    </row>
    <row r="136" spans="1:4" ht="24">
      <c r="A136" s="105" t="s">
        <v>46</v>
      </c>
      <c r="B136" s="116">
        <v>100</v>
      </c>
      <c r="C136" s="72">
        <v>1454448</v>
      </c>
      <c r="D136" s="74"/>
    </row>
    <row r="137" spans="1:4" ht="24">
      <c r="A137" s="105" t="s">
        <v>310</v>
      </c>
      <c r="B137" s="116">
        <v>120</v>
      </c>
      <c r="C137" s="72">
        <v>124560</v>
      </c>
      <c r="D137" s="74"/>
    </row>
    <row r="138" spans="1:4" ht="24">
      <c r="A138" s="105" t="s">
        <v>311</v>
      </c>
      <c r="B138" s="116">
        <v>130</v>
      </c>
      <c r="C138" s="72">
        <v>336960</v>
      </c>
      <c r="D138" s="74"/>
    </row>
    <row r="139" spans="1:4" ht="24">
      <c r="A139" s="105" t="s">
        <v>47</v>
      </c>
      <c r="B139" s="116">
        <v>200</v>
      </c>
      <c r="C139" s="72">
        <v>221238</v>
      </c>
      <c r="D139" s="74"/>
    </row>
    <row r="140" spans="1:4" ht="24">
      <c r="A140" s="105" t="s">
        <v>48</v>
      </c>
      <c r="B140" s="116">
        <v>250</v>
      </c>
      <c r="C140" s="72">
        <v>332805</v>
      </c>
      <c r="D140" s="74"/>
    </row>
    <row r="141" spans="1:4" ht="24">
      <c r="A141" s="105" t="s">
        <v>49</v>
      </c>
      <c r="B141" s="116">
        <v>270</v>
      </c>
      <c r="C141" s="72">
        <v>54709</v>
      </c>
      <c r="D141" s="74"/>
    </row>
    <row r="142" spans="1:4" ht="24">
      <c r="A142" s="105" t="s">
        <v>50</v>
      </c>
      <c r="B142" s="116">
        <v>300</v>
      </c>
      <c r="C142" s="72">
        <v>45876.86</v>
      </c>
      <c r="D142" s="74"/>
    </row>
    <row r="143" spans="1:4" ht="24">
      <c r="A143" s="105" t="s">
        <v>114</v>
      </c>
      <c r="B143" s="116">
        <v>400</v>
      </c>
      <c r="C143" s="73">
        <v>671200</v>
      </c>
      <c r="D143" s="74"/>
    </row>
    <row r="144" spans="1:4" ht="24">
      <c r="A144" s="105" t="s">
        <v>51</v>
      </c>
      <c r="B144" s="116">
        <v>450</v>
      </c>
      <c r="C144" s="73">
        <v>0</v>
      </c>
      <c r="D144" s="74"/>
    </row>
    <row r="145" spans="1:4" ht="24">
      <c r="A145" s="105" t="s">
        <v>115</v>
      </c>
      <c r="B145" s="116">
        <v>500</v>
      </c>
      <c r="C145" s="73">
        <v>0</v>
      </c>
      <c r="D145" s="74"/>
    </row>
    <row r="146" spans="1:4" ht="24">
      <c r="A146" s="105" t="s">
        <v>167</v>
      </c>
      <c r="B146" s="115">
        <v>550</v>
      </c>
      <c r="C146" s="73">
        <v>395672</v>
      </c>
      <c r="D146" s="74"/>
    </row>
    <row r="147" spans="1:4" ht="24">
      <c r="A147" s="105" t="s">
        <v>313</v>
      </c>
      <c r="B147" s="116"/>
      <c r="D147" s="74">
        <f>'หมายเหตุ 1'!H132</f>
        <v>11417860.629999999</v>
      </c>
    </row>
    <row r="148" spans="1:4" ht="24">
      <c r="A148" s="234" t="s">
        <v>99</v>
      </c>
      <c r="B148" s="116"/>
      <c r="D148" s="74">
        <f>'หมายเหตุ 2,3 '!G109</f>
        <v>1080061.48</v>
      </c>
    </row>
    <row r="149" spans="1:4" ht="24">
      <c r="A149" s="105" t="s">
        <v>314</v>
      </c>
      <c r="B149" s="116"/>
      <c r="D149" s="74">
        <v>166</v>
      </c>
    </row>
    <row r="150" spans="1:4" ht="24">
      <c r="A150" s="105" t="s">
        <v>315</v>
      </c>
      <c r="B150" s="116"/>
      <c r="D150" s="74">
        <v>0</v>
      </c>
    </row>
    <row r="151" spans="1:4" ht="24">
      <c r="A151" s="105" t="s">
        <v>316</v>
      </c>
      <c r="B151" s="116"/>
      <c r="D151" s="74">
        <v>0</v>
      </c>
    </row>
    <row r="152" spans="1:4" ht="24">
      <c r="A152" s="105" t="s">
        <v>317</v>
      </c>
      <c r="B152" s="116"/>
      <c r="D152" s="74">
        <f>'หมายเหต 6'!J147</f>
        <v>782854</v>
      </c>
    </row>
    <row r="153" spans="1:4" ht="24">
      <c r="A153" s="105" t="s">
        <v>19</v>
      </c>
      <c r="B153" s="116"/>
      <c r="D153" s="74">
        <v>620969.51</v>
      </c>
    </row>
    <row r="154" spans="1:4" ht="24">
      <c r="A154" s="105" t="s">
        <v>116</v>
      </c>
      <c r="B154" s="116"/>
      <c r="D154" s="74">
        <v>3275153.03</v>
      </c>
    </row>
    <row r="155" spans="2:4" ht="24.75" thickBot="1">
      <c r="B155" s="116"/>
      <c r="C155" s="271">
        <f>SUM(C127:C148)</f>
        <v>17202154.65</v>
      </c>
      <c r="D155" s="271">
        <f>SUM(D147:D154)</f>
        <v>17177064.65</v>
      </c>
    </row>
    <row r="156" ht="24.75" thickTop="1"/>
    <row r="161" spans="1:4" ht="24">
      <c r="A161" s="520" t="s">
        <v>244</v>
      </c>
      <c r="B161" s="520"/>
      <c r="C161" s="520"/>
      <c r="D161" s="520"/>
    </row>
    <row r="162" spans="1:4" ht="24">
      <c r="A162" s="520" t="s">
        <v>62</v>
      </c>
      <c r="B162" s="520"/>
      <c r="C162" s="520"/>
      <c r="D162" s="520"/>
    </row>
    <row r="163" spans="1:4" ht="24">
      <c r="A163" s="521" t="s">
        <v>388</v>
      </c>
      <c r="B163" s="521"/>
      <c r="C163" s="521"/>
      <c r="D163" s="521"/>
    </row>
    <row r="165" spans="1:4" ht="24">
      <c r="A165" s="220" t="s">
        <v>59</v>
      </c>
      <c r="B165" s="108" t="s">
        <v>4</v>
      </c>
      <c r="C165" s="110" t="s">
        <v>60</v>
      </c>
      <c r="D165" s="110" t="s">
        <v>61</v>
      </c>
    </row>
    <row r="166" spans="1:4" ht="24">
      <c r="A166" s="221"/>
      <c r="B166" s="112" t="s">
        <v>5</v>
      </c>
      <c r="C166" s="114"/>
      <c r="D166" s="114"/>
    </row>
    <row r="167" spans="1:4" ht="24">
      <c r="A167" s="449" t="s">
        <v>37</v>
      </c>
      <c r="B167" s="115" t="s">
        <v>53</v>
      </c>
      <c r="C167" s="448">
        <v>913.7</v>
      </c>
      <c r="D167" s="104"/>
    </row>
    <row r="168" spans="1:4" ht="24">
      <c r="A168" s="105" t="s">
        <v>306</v>
      </c>
      <c r="B168" s="115" t="s">
        <v>55</v>
      </c>
      <c r="C168" s="73">
        <v>46.56</v>
      </c>
      <c r="D168" s="74"/>
    </row>
    <row r="169" spans="1:4" ht="24">
      <c r="A169" s="105" t="s">
        <v>307</v>
      </c>
      <c r="B169" s="115" t="s">
        <v>56</v>
      </c>
      <c r="C169" s="72">
        <v>276248.84</v>
      </c>
      <c r="D169" s="74"/>
    </row>
    <row r="170" spans="1:4" ht="24">
      <c r="A170" s="105" t="s">
        <v>308</v>
      </c>
      <c r="B170" s="115" t="s">
        <v>56</v>
      </c>
      <c r="C170" s="72">
        <v>7067724.03</v>
      </c>
      <c r="D170" s="74"/>
    </row>
    <row r="171" spans="1:4" ht="24">
      <c r="A171" s="105" t="s">
        <v>309</v>
      </c>
      <c r="B171" s="115" t="s">
        <v>56</v>
      </c>
      <c r="C171" s="72">
        <v>175303.14</v>
      </c>
      <c r="D171" s="74"/>
    </row>
    <row r="172" spans="1:4" ht="24">
      <c r="A172" s="105" t="s">
        <v>305</v>
      </c>
      <c r="B172" s="115" t="s">
        <v>58</v>
      </c>
      <c r="C172" s="72">
        <v>80748</v>
      </c>
      <c r="D172" s="74"/>
    </row>
    <row r="173" spans="1:4" ht="24">
      <c r="A173" s="105" t="s">
        <v>362</v>
      </c>
      <c r="B173" s="115"/>
      <c r="C173" s="72">
        <v>0</v>
      </c>
      <c r="D173" s="74"/>
    </row>
    <row r="174" spans="1:4" ht="24">
      <c r="A174" s="105" t="s">
        <v>154</v>
      </c>
      <c r="B174" s="116"/>
      <c r="C174" s="72">
        <v>45495.43</v>
      </c>
      <c r="D174" s="74"/>
    </row>
    <row r="175" spans="1:4" ht="24">
      <c r="A175" s="105" t="s">
        <v>45</v>
      </c>
      <c r="B175" s="115" t="s">
        <v>312</v>
      </c>
      <c r="C175" s="72">
        <v>463908</v>
      </c>
      <c r="D175" s="74"/>
    </row>
    <row r="176" spans="1:4" ht="24">
      <c r="A176" s="105" t="s">
        <v>46</v>
      </c>
      <c r="B176" s="116">
        <v>100</v>
      </c>
      <c r="C176" s="72">
        <v>964308</v>
      </c>
      <c r="D176" s="74"/>
    </row>
    <row r="177" spans="1:4" ht="24">
      <c r="A177" s="105" t="s">
        <v>310</v>
      </c>
      <c r="B177" s="116">
        <v>120</v>
      </c>
      <c r="C177" s="72">
        <v>83040</v>
      </c>
      <c r="D177" s="74"/>
    </row>
    <row r="178" spans="1:4" ht="24">
      <c r="A178" s="105" t="s">
        <v>311</v>
      </c>
      <c r="B178" s="116">
        <v>130</v>
      </c>
      <c r="C178" s="72">
        <v>224640</v>
      </c>
      <c r="D178" s="74"/>
    </row>
    <row r="179" spans="1:4" ht="24">
      <c r="A179" s="105" t="s">
        <v>47</v>
      </c>
      <c r="B179" s="116">
        <v>200</v>
      </c>
      <c r="C179" s="72">
        <v>112663</v>
      </c>
      <c r="D179" s="74"/>
    </row>
    <row r="180" spans="1:4" ht="24">
      <c r="A180" s="105" t="s">
        <v>48</v>
      </c>
      <c r="B180" s="116">
        <v>250</v>
      </c>
      <c r="C180" s="72">
        <v>96962</v>
      </c>
      <c r="D180" s="74"/>
    </row>
    <row r="181" spans="1:4" ht="24">
      <c r="A181" s="105" t="s">
        <v>49</v>
      </c>
      <c r="B181" s="116">
        <v>270</v>
      </c>
      <c r="C181" s="72">
        <v>23776</v>
      </c>
      <c r="D181" s="74"/>
    </row>
    <row r="182" spans="1:4" ht="24">
      <c r="A182" s="105" t="s">
        <v>50</v>
      </c>
      <c r="B182" s="116">
        <v>300</v>
      </c>
      <c r="C182" s="72">
        <v>29355.9</v>
      </c>
      <c r="D182" s="74"/>
    </row>
    <row r="183" spans="1:4" ht="24">
      <c r="A183" s="105" t="s">
        <v>114</v>
      </c>
      <c r="B183" s="116">
        <v>400</v>
      </c>
      <c r="C183" s="73">
        <v>334100</v>
      </c>
      <c r="D183" s="74"/>
    </row>
    <row r="184" spans="1:4" ht="24">
      <c r="A184" s="105" t="s">
        <v>51</v>
      </c>
      <c r="B184" s="116">
        <v>450</v>
      </c>
      <c r="C184" s="73">
        <v>0</v>
      </c>
      <c r="D184" s="74"/>
    </row>
    <row r="185" spans="1:4" ht="24">
      <c r="A185" s="105" t="s">
        <v>115</v>
      </c>
      <c r="B185" s="116">
        <v>500</v>
      </c>
      <c r="C185" s="73">
        <v>0</v>
      </c>
      <c r="D185" s="74"/>
    </row>
    <row r="186" spans="1:4" ht="24">
      <c r="A186" s="105" t="s">
        <v>167</v>
      </c>
      <c r="B186" s="115">
        <v>550</v>
      </c>
      <c r="C186" s="73">
        <v>290808</v>
      </c>
      <c r="D186" s="74"/>
    </row>
    <row r="187" spans="1:4" ht="24">
      <c r="A187" s="105" t="s">
        <v>313</v>
      </c>
      <c r="B187" s="116"/>
      <c r="D187" s="74">
        <v>0</v>
      </c>
    </row>
    <row r="188" spans="1:4" ht="24">
      <c r="A188" s="234" t="s">
        <v>99</v>
      </c>
      <c r="B188" s="116"/>
      <c r="D188" s="74">
        <v>0</v>
      </c>
    </row>
    <row r="189" spans="1:4" ht="24">
      <c r="A189" s="105" t="s">
        <v>314</v>
      </c>
      <c r="B189" s="116"/>
      <c r="D189" s="74">
        <v>166</v>
      </c>
    </row>
    <row r="190" spans="1:4" ht="24">
      <c r="A190" s="105" t="s">
        <v>315</v>
      </c>
      <c r="B190" s="116"/>
      <c r="D190" s="74">
        <v>0</v>
      </c>
    </row>
    <row r="191" spans="1:4" ht="24">
      <c r="A191" s="105" t="s">
        <v>316</v>
      </c>
      <c r="B191" s="116"/>
      <c r="D191" s="74">
        <v>0</v>
      </c>
    </row>
    <row r="192" spans="1:4" ht="24">
      <c r="A192" s="105" t="s">
        <v>317</v>
      </c>
      <c r="B192" s="116"/>
      <c r="D192" s="74">
        <f>'หมายเหต 6'!J41</f>
        <v>0</v>
      </c>
    </row>
    <row r="193" spans="1:4" ht="24">
      <c r="A193" s="105" t="s">
        <v>19</v>
      </c>
      <c r="B193" s="116"/>
      <c r="D193" s="74">
        <v>620969.51</v>
      </c>
    </row>
    <row r="194" spans="1:4" ht="24">
      <c r="A194" s="105" t="s">
        <v>116</v>
      </c>
      <c r="B194" s="116"/>
      <c r="D194" s="74">
        <v>3275153.03</v>
      </c>
    </row>
    <row r="195" spans="2:4" ht="24.75" thickBot="1">
      <c r="B195" s="116"/>
      <c r="C195" s="271">
        <f>SUM(C167:C188)</f>
        <v>10270040.6</v>
      </c>
      <c r="D195" s="271">
        <f>SUM(D187:D194)</f>
        <v>3896288.54</v>
      </c>
    </row>
    <row r="196" ht="24.75" thickTop="1"/>
    <row r="201" spans="1:4" ht="24">
      <c r="A201" s="520" t="s">
        <v>244</v>
      </c>
      <c r="B201" s="520"/>
      <c r="C201" s="520"/>
      <c r="D201" s="520"/>
    </row>
    <row r="202" spans="1:4" ht="24">
      <c r="A202" s="520" t="s">
        <v>62</v>
      </c>
      <c r="B202" s="520"/>
      <c r="C202" s="520"/>
      <c r="D202" s="520"/>
    </row>
    <row r="203" spans="1:4" ht="24">
      <c r="A203" s="521" t="s">
        <v>385</v>
      </c>
      <c r="B203" s="521"/>
      <c r="C203" s="521"/>
      <c r="D203" s="521"/>
    </row>
    <row r="205" spans="1:4" ht="24">
      <c r="A205" s="220" t="s">
        <v>59</v>
      </c>
      <c r="B205" s="108" t="s">
        <v>4</v>
      </c>
      <c r="C205" s="110" t="s">
        <v>60</v>
      </c>
      <c r="D205" s="110" t="s">
        <v>61</v>
      </c>
    </row>
    <row r="206" spans="1:4" ht="24">
      <c r="A206" s="221"/>
      <c r="B206" s="112" t="s">
        <v>5</v>
      </c>
      <c r="C206" s="114"/>
      <c r="D206" s="114"/>
    </row>
    <row r="207" spans="1:4" ht="24">
      <c r="A207" s="449" t="s">
        <v>37</v>
      </c>
      <c r="B207" s="115" t="s">
        <v>53</v>
      </c>
      <c r="C207" s="448">
        <v>913.7</v>
      </c>
      <c r="D207" s="104"/>
    </row>
    <row r="208" spans="1:4" ht="24">
      <c r="A208" s="105" t="s">
        <v>306</v>
      </c>
      <c r="B208" s="115" t="s">
        <v>55</v>
      </c>
      <c r="C208" s="73">
        <v>46.56</v>
      </c>
      <c r="D208" s="74"/>
    </row>
    <row r="209" spans="1:4" ht="24">
      <c r="A209" s="105" t="s">
        <v>307</v>
      </c>
      <c r="B209" s="115" t="s">
        <v>56</v>
      </c>
      <c r="C209" s="72">
        <v>276248.84</v>
      </c>
      <c r="D209" s="74"/>
    </row>
    <row r="210" spans="1:4" ht="24">
      <c r="A210" s="105" t="s">
        <v>308</v>
      </c>
      <c r="B210" s="115" t="s">
        <v>56</v>
      </c>
      <c r="C210" s="72">
        <v>7067724.03</v>
      </c>
      <c r="D210" s="74"/>
    </row>
    <row r="211" spans="1:4" ht="24">
      <c r="A211" s="105" t="s">
        <v>309</v>
      </c>
      <c r="B211" s="115" t="s">
        <v>56</v>
      </c>
      <c r="C211" s="72">
        <v>175303.14</v>
      </c>
      <c r="D211" s="74"/>
    </row>
    <row r="212" spans="1:4" ht="24">
      <c r="A212" s="105" t="s">
        <v>305</v>
      </c>
      <c r="B212" s="115" t="s">
        <v>58</v>
      </c>
      <c r="C212" s="72">
        <v>80748</v>
      </c>
      <c r="D212" s="74"/>
    </row>
    <row r="213" spans="1:4" ht="24">
      <c r="A213" s="105" t="s">
        <v>362</v>
      </c>
      <c r="B213" s="115"/>
      <c r="C213" s="72">
        <v>0</v>
      </c>
      <c r="D213" s="74"/>
    </row>
    <row r="214" spans="1:4" ht="24">
      <c r="A214" s="105" t="s">
        <v>154</v>
      </c>
      <c r="B214" s="116"/>
      <c r="C214" s="72">
        <v>45495.43</v>
      </c>
      <c r="D214" s="74"/>
    </row>
    <row r="215" spans="1:4" ht="24">
      <c r="A215" s="105" t="s">
        <v>45</v>
      </c>
      <c r="B215" s="115" t="s">
        <v>312</v>
      </c>
      <c r="C215" s="72">
        <v>463908</v>
      </c>
      <c r="D215" s="74"/>
    </row>
    <row r="216" spans="1:4" ht="24">
      <c r="A216" s="105" t="s">
        <v>46</v>
      </c>
      <c r="B216" s="116">
        <v>100</v>
      </c>
      <c r="C216" s="72">
        <v>964308</v>
      </c>
      <c r="D216" s="74"/>
    </row>
    <row r="217" spans="1:4" ht="24">
      <c r="A217" s="105" t="s">
        <v>310</v>
      </c>
      <c r="B217" s="116">
        <v>120</v>
      </c>
      <c r="C217" s="72">
        <v>83040</v>
      </c>
      <c r="D217" s="74"/>
    </row>
    <row r="218" spans="1:4" ht="24">
      <c r="A218" s="105" t="s">
        <v>311</v>
      </c>
      <c r="B218" s="116">
        <v>130</v>
      </c>
      <c r="C218" s="72">
        <v>224640</v>
      </c>
      <c r="D218" s="74"/>
    </row>
    <row r="219" spans="1:4" ht="24">
      <c r="A219" s="105" t="s">
        <v>47</v>
      </c>
      <c r="B219" s="116">
        <v>200</v>
      </c>
      <c r="C219" s="72">
        <v>112663</v>
      </c>
      <c r="D219" s="74"/>
    </row>
    <row r="220" spans="1:4" ht="24">
      <c r="A220" s="105" t="s">
        <v>48</v>
      </c>
      <c r="B220" s="116">
        <v>250</v>
      </c>
      <c r="C220" s="72">
        <v>96962</v>
      </c>
      <c r="D220" s="74"/>
    </row>
    <row r="221" spans="1:4" ht="24">
      <c r="A221" s="105" t="s">
        <v>49</v>
      </c>
      <c r="B221" s="116">
        <v>270</v>
      </c>
      <c r="C221" s="72">
        <v>23776</v>
      </c>
      <c r="D221" s="74"/>
    </row>
    <row r="222" spans="1:4" ht="24">
      <c r="A222" s="105" t="s">
        <v>50</v>
      </c>
      <c r="B222" s="116">
        <v>300</v>
      </c>
      <c r="C222" s="72">
        <v>29355.9</v>
      </c>
      <c r="D222" s="74"/>
    </row>
    <row r="223" spans="1:4" ht="24">
      <c r="A223" s="105" t="s">
        <v>114</v>
      </c>
      <c r="B223" s="116">
        <v>400</v>
      </c>
      <c r="C223" s="73">
        <v>334100</v>
      </c>
      <c r="D223" s="74"/>
    </row>
    <row r="224" spans="1:4" ht="24">
      <c r="A224" s="105" t="s">
        <v>51</v>
      </c>
      <c r="B224" s="116">
        <v>450</v>
      </c>
      <c r="C224" s="73">
        <v>0</v>
      </c>
      <c r="D224" s="74"/>
    </row>
    <row r="225" spans="1:4" ht="24">
      <c r="A225" s="105" t="s">
        <v>115</v>
      </c>
      <c r="B225" s="116">
        <v>500</v>
      </c>
      <c r="C225" s="73">
        <v>0</v>
      </c>
      <c r="D225" s="74"/>
    </row>
    <row r="226" spans="1:4" ht="24">
      <c r="A226" s="105" t="s">
        <v>167</v>
      </c>
      <c r="B226" s="115">
        <v>550</v>
      </c>
      <c r="C226" s="73">
        <v>290808</v>
      </c>
      <c r="D226" s="74"/>
    </row>
    <row r="227" spans="1:4" ht="24">
      <c r="A227" s="105" t="s">
        <v>313</v>
      </c>
      <c r="B227" s="116"/>
      <c r="D227" s="74">
        <f>'หมายเหตุ 1'!H200</f>
        <v>5052375.26</v>
      </c>
    </row>
    <row r="228" spans="1:4" ht="24">
      <c r="A228" s="234" t="s">
        <v>99</v>
      </c>
      <c r="B228" s="116"/>
      <c r="D228" s="74">
        <f>'หมายเหตุ 2,3 '!G175</f>
        <v>827132.8</v>
      </c>
    </row>
    <row r="229" spans="1:4" ht="24">
      <c r="A229" s="105" t="s">
        <v>314</v>
      </c>
      <c r="B229" s="116"/>
      <c r="D229" s="74">
        <v>166</v>
      </c>
    </row>
    <row r="230" spans="1:4" ht="24">
      <c r="A230" s="105" t="s">
        <v>315</v>
      </c>
      <c r="B230" s="116"/>
      <c r="D230" s="74">
        <v>0</v>
      </c>
    </row>
    <row r="231" spans="1:4" ht="24">
      <c r="A231" s="105" t="s">
        <v>316</v>
      </c>
      <c r="B231" s="116"/>
      <c r="D231" s="74">
        <v>0</v>
      </c>
    </row>
    <row r="232" spans="1:6" ht="24">
      <c r="A232" s="105" t="s">
        <v>317</v>
      </c>
      <c r="B232" s="116"/>
      <c r="D232" s="74">
        <f>'หมายเหต 6'!J81</f>
        <v>494244</v>
      </c>
      <c r="F232" s="72">
        <v>10270040.6</v>
      </c>
    </row>
    <row r="233" spans="1:6" ht="24">
      <c r="A233" s="105" t="s">
        <v>19</v>
      </c>
      <c r="B233" s="116"/>
      <c r="D233" s="74">
        <v>620969.51</v>
      </c>
      <c r="F233" s="72">
        <v>10269126.9</v>
      </c>
    </row>
    <row r="234" spans="1:6" ht="24">
      <c r="A234" s="105" t="s">
        <v>116</v>
      </c>
      <c r="B234" s="116"/>
      <c r="D234" s="74">
        <v>3275153.03</v>
      </c>
      <c r="F234" s="72">
        <f>F232-F233</f>
        <v>913.6999999992549</v>
      </c>
    </row>
    <row r="235" spans="2:4" ht="24.75" thickBot="1">
      <c r="B235" s="116"/>
      <c r="C235" s="271">
        <f>SUM(C207:C228)</f>
        <v>10270040.6</v>
      </c>
      <c r="D235" s="271">
        <f>SUM(D227:D234)</f>
        <v>10270040.6</v>
      </c>
    </row>
    <row r="236" spans="2:4" ht="24.75" thickTop="1">
      <c r="B236" s="117"/>
      <c r="C236" s="217"/>
      <c r="D236" s="217"/>
    </row>
    <row r="244" spans="1:4" ht="24">
      <c r="A244" s="520" t="s">
        <v>244</v>
      </c>
      <c r="B244" s="520"/>
      <c r="C244" s="520"/>
      <c r="D244" s="520"/>
    </row>
    <row r="245" spans="1:4" ht="24">
      <c r="A245" s="520" t="s">
        <v>62</v>
      </c>
      <c r="B245" s="520"/>
      <c r="C245" s="520"/>
      <c r="D245" s="520"/>
    </row>
    <row r="246" spans="1:4" ht="24">
      <c r="A246" s="521" t="s">
        <v>364</v>
      </c>
      <c r="B246" s="521"/>
      <c r="C246" s="521"/>
      <c r="D246" s="521"/>
    </row>
    <row r="248" spans="1:4" ht="24">
      <c r="A248" s="220" t="s">
        <v>59</v>
      </c>
      <c r="B248" s="108" t="s">
        <v>4</v>
      </c>
      <c r="C248" s="110" t="s">
        <v>60</v>
      </c>
      <c r="D248" s="110" t="s">
        <v>61</v>
      </c>
    </row>
    <row r="249" spans="1:4" ht="24">
      <c r="A249" s="221"/>
      <c r="B249" s="112" t="s">
        <v>5</v>
      </c>
      <c r="C249" s="114"/>
      <c r="D249" s="114"/>
    </row>
    <row r="250" spans="1:4" ht="24">
      <c r="A250" s="105" t="s">
        <v>306</v>
      </c>
      <c r="B250" s="115" t="s">
        <v>55</v>
      </c>
      <c r="C250" s="73">
        <v>52317.97</v>
      </c>
      <c r="D250" s="74"/>
    </row>
    <row r="251" spans="1:4" ht="24">
      <c r="A251" s="105" t="s">
        <v>307</v>
      </c>
      <c r="B251" s="115" t="s">
        <v>56</v>
      </c>
      <c r="C251" s="72">
        <v>56049.79</v>
      </c>
      <c r="D251" s="74"/>
    </row>
    <row r="252" spans="1:4" ht="24">
      <c r="A252" s="105" t="s">
        <v>308</v>
      </c>
      <c r="B252" s="115" t="s">
        <v>56</v>
      </c>
      <c r="C252" s="72">
        <v>7975817.04</v>
      </c>
      <c r="D252" s="74"/>
    </row>
    <row r="253" spans="1:4" ht="24">
      <c r="A253" s="105" t="s">
        <v>309</v>
      </c>
      <c r="B253" s="115" t="s">
        <v>56</v>
      </c>
      <c r="C253" s="72">
        <v>161303.14</v>
      </c>
      <c r="D253" s="74"/>
    </row>
    <row r="254" spans="1:4" ht="24">
      <c r="A254" s="105" t="s">
        <v>305</v>
      </c>
      <c r="B254" s="115" t="s">
        <v>58</v>
      </c>
      <c r="C254" s="72">
        <v>94738</v>
      </c>
      <c r="D254" s="74"/>
    </row>
    <row r="255" spans="1:4" ht="24">
      <c r="A255" s="105" t="s">
        <v>362</v>
      </c>
      <c r="B255" s="115"/>
      <c r="C255" s="72">
        <v>0</v>
      </c>
      <c r="D255" s="74"/>
    </row>
    <row r="256" spans="1:4" ht="24">
      <c r="A256" s="105" t="s">
        <v>154</v>
      </c>
      <c r="B256" s="116"/>
      <c r="C256" s="72">
        <v>45495.43</v>
      </c>
      <c r="D256" s="74"/>
    </row>
    <row r="257" spans="1:4" ht="24">
      <c r="A257" s="105" t="s">
        <v>45</v>
      </c>
      <c r="B257" s="115" t="s">
        <v>312</v>
      </c>
      <c r="C257" s="72">
        <v>232368</v>
      </c>
      <c r="D257" s="74"/>
    </row>
    <row r="258" spans="1:4" ht="24">
      <c r="A258" s="105" t="s">
        <v>46</v>
      </c>
      <c r="B258" s="116">
        <v>100</v>
      </c>
      <c r="C258" s="72">
        <v>501015</v>
      </c>
      <c r="D258" s="74"/>
    </row>
    <row r="259" spans="1:4" ht="24">
      <c r="A259" s="105" t="s">
        <v>310</v>
      </c>
      <c r="B259" s="116">
        <v>120</v>
      </c>
      <c r="C259" s="72">
        <v>62280</v>
      </c>
      <c r="D259" s="74"/>
    </row>
    <row r="260" spans="1:4" ht="24">
      <c r="A260" s="105" t="s">
        <v>311</v>
      </c>
      <c r="B260" s="116">
        <v>130</v>
      </c>
      <c r="C260" s="72">
        <v>168480</v>
      </c>
      <c r="D260" s="74"/>
    </row>
    <row r="261" spans="1:4" ht="24">
      <c r="A261" s="105" t="s">
        <v>47</v>
      </c>
      <c r="B261" s="116">
        <v>200</v>
      </c>
      <c r="C261" s="72">
        <v>296073</v>
      </c>
      <c r="D261" s="74"/>
    </row>
    <row r="262" spans="1:4" ht="24">
      <c r="A262" s="105" t="s">
        <v>48</v>
      </c>
      <c r="B262" s="116">
        <v>250</v>
      </c>
      <c r="C262" s="72">
        <v>128047</v>
      </c>
      <c r="D262" s="74"/>
    </row>
    <row r="263" spans="1:4" ht="24">
      <c r="A263" s="105" t="s">
        <v>49</v>
      </c>
      <c r="B263" s="116">
        <v>270</v>
      </c>
      <c r="C263" s="72">
        <v>16942</v>
      </c>
      <c r="D263" s="74"/>
    </row>
    <row r="264" spans="1:4" ht="24">
      <c r="A264" s="105" t="s">
        <v>50</v>
      </c>
      <c r="B264" s="116">
        <v>300</v>
      </c>
      <c r="C264" s="72">
        <v>23626.06</v>
      </c>
      <c r="D264" s="74"/>
    </row>
    <row r="265" spans="1:4" ht="24">
      <c r="A265" s="105" t="s">
        <v>114</v>
      </c>
      <c r="B265" s="116">
        <v>400</v>
      </c>
      <c r="C265" s="73">
        <v>334100</v>
      </c>
      <c r="D265" s="74"/>
    </row>
    <row r="266" spans="1:4" ht="24">
      <c r="A266" s="105" t="s">
        <v>51</v>
      </c>
      <c r="B266" s="116">
        <v>450</v>
      </c>
      <c r="C266" s="73">
        <v>0</v>
      </c>
      <c r="D266" s="74"/>
    </row>
    <row r="267" spans="1:4" ht="24">
      <c r="A267" s="105" t="s">
        <v>115</v>
      </c>
      <c r="B267" s="116">
        <v>500</v>
      </c>
      <c r="C267" s="73">
        <v>0</v>
      </c>
      <c r="D267" s="74"/>
    </row>
    <row r="268" spans="1:4" ht="24">
      <c r="A268" s="105" t="s">
        <v>167</v>
      </c>
      <c r="B268" s="115">
        <v>550</v>
      </c>
      <c r="C268" s="73">
        <v>0</v>
      </c>
      <c r="D268" s="74"/>
    </row>
    <row r="269" spans="1:4" ht="24">
      <c r="A269" s="105" t="s">
        <v>313</v>
      </c>
      <c r="B269" s="116"/>
      <c r="D269" s="74">
        <v>4671951.25</v>
      </c>
    </row>
    <row r="270" spans="1:4" ht="24">
      <c r="A270" s="234" t="s">
        <v>99</v>
      </c>
      <c r="B270" s="116"/>
      <c r="D270" s="74">
        <v>807364.64</v>
      </c>
    </row>
    <row r="271" spans="1:4" ht="24">
      <c r="A271" s="105" t="s">
        <v>314</v>
      </c>
      <c r="B271" s="116"/>
      <c r="D271" s="74">
        <v>166</v>
      </c>
    </row>
    <row r="272" spans="1:4" ht="24">
      <c r="A272" s="105" t="s">
        <v>315</v>
      </c>
      <c r="B272" s="116"/>
      <c r="D272" s="74">
        <v>0</v>
      </c>
    </row>
    <row r="273" spans="1:4" ht="24">
      <c r="A273" s="105" t="s">
        <v>316</v>
      </c>
      <c r="B273" s="116"/>
      <c r="D273" s="74">
        <v>0</v>
      </c>
    </row>
    <row r="274" spans="1:4" ht="24">
      <c r="A274" s="105" t="s">
        <v>317</v>
      </c>
      <c r="B274" s="116"/>
      <c r="D274" s="74">
        <f>'หมายเหต 6'!J49</f>
        <v>773048</v>
      </c>
    </row>
    <row r="275" spans="1:4" ht="24">
      <c r="A275" s="105" t="s">
        <v>19</v>
      </c>
      <c r="B275" s="116"/>
      <c r="D275" s="74">
        <v>620969.51</v>
      </c>
    </row>
    <row r="276" spans="1:6" ht="24">
      <c r="A276" s="105" t="s">
        <v>116</v>
      </c>
      <c r="B276" s="116"/>
      <c r="D276" s="74">
        <v>3275153.03</v>
      </c>
      <c r="F276" s="72">
        <f>D277</f>
        <v>10148652.43</v>
      </c>
    </row>
    <row r="277" spans="2:6" ht="24.75" thickBot="1">
      <c r="B277" s="116"/>
      <c r="C277" s="271">
        <f>SUM(C250:C270)</f>
        <v>10148652.43</v>
      </c>
      <c r="D277" s="271">
        <f>SUM(D269:D276)</f>
        <v>10148652.43</v>
      </c>
      <c r="F277" s="72">
        <f>C277</f>
        <v>10148652.43</v>
      </c>
    </row>
    <row r="278" spans="2:6" ht="24.75" thickTop="1">
      <c r="B278" s="117"/>
      <c r="C278" s="217"/>
      <c r="D278" s="217"/>
      <c r="F278" s="72">
        <f>F276-F277</f>
        <v>0</v>
      </c>
    </row>
    <row r="279" spans="2:4" ht="24">
      <c r="B279" s="117"/>
      <c r="C279" s="217"/>
      <c r="D279" s="217"/>
    </row>
    <row r="280" spans="2:4" ht="24">
      <c r="B280" s="117"/>
      <c r="C280" s="217"/>
      <c r="D280" s="217"/>
    </row>
    <row r="281" spans="2:4" ht="24">
      <c r="B281" s="117"/>
      <c r="C281" s="217"/>
      <c r="D281" s="217"/>
    </row>
    <row r="282" spans="2:4" ht="24">
      <c r="B282" s="117"/>
      <c r="C282" s="217"/>
      <c r="D282" s="217"/>
    </row>
    <row r="284" spans="1:4" ht="24">
      <c r="A284" s="520" t="s">
        <v>244</v>
      </c>
      <c r="B284" s="520"/>
      <c r="C284" s="520"/>
      <c r="D284" s="520"/>
    </row>
    <row r="285" spans="1:4" ht="24">
      <c r="A285" s="520" t="s">
        <v>62</v>
      </c>
      <c r="B285" s="520"/>
      <c r="C285" s="520"/>
      <c r="D285" s="520"/>
    </row>
    <row r="286" spans="1:4" ht="24">
      <c r="A286" s="521" t="s">
        <v>342</v>
      </c>
      <c r="B286" s="521"/>
      <c r="C286" s="521"/>
      <c r="D286" s="521"/>
    </row>
    <row r="288" spans="1:4" ht="24">
      <c r="A288" s="220" t="s">
        <v>59</v>
      </c>
      <c r="B288" s="108" t="s">
        <v>4</v>
      </c>
      <c r="C288" s="110" t="s">
        <v>60</v>
      </c>
      <c r="D288" s="110" t="s">
        <v>61</v>
      </c>
    </row>
    <row r="289" spans="1:4" ht="24">
      <c r="A289" s="221"/>
      <c r="B289" s="112" t="s">
        <v>5</v>
      </c>
      <c r="C289" s="114"/>
      <c r="D289" s="114"/>
    </row>
    <row r="290" spans="1:4" ht="24">
      <c r="A290" s="105" t="s">
        <v>306</v>
      </c>
      <c r="B290" s="115" t="s">
        <v>55</v>
      </c>
      <c r="C290" s="73">
        <v>0</v>
      </c>
      <c r="D290" s="74"/>
    </row>
    <row r="291" spans="1:6" ht="24">
      <c r="A291" s="105" t="s">
        <v>307</v>
      </c>
      <c r="B291" s="115" t="s">
        <v>56</v>
      </c>
      <c r="C291" s="72">
        <v>201672.79</v>
      </c>
      <c r="D291" s="74"/>
      <c r="F291" s="72">
        <v>346882.79</v>
      </c>
    </row>
    <row r="292" spans="1:6" ht="24">
      <c r="A292" s="105" t="s">
        <v>308</v>
      </c>
      <c r="B292" s="115" t="s">
        <v>56</v>
      </c>
      <c r="C292" s="72">
        <v>5727165.15</v>
      </c>
      <c r="D292" s="74"/>
      <c r="F292" s="72">
        <v>145210</v>
      </c>
    </row>
    <row r="293" spans="1:6" ht="24">
      <c r="A293" s="105" t="s">
        <v>309</v>
      </c>
      <c r="B293" s="115" t="s">
        <v>56</v>
      </c>
      <c r="C293" s="72">
        <v>155303.14</v>
      </c>
      <c r="D293" s="74"/>
      <c r="F293" s="72">
        <f>F291-F292</f>
        <v>201672.78999999998</v>
      </c>
    </row>
    <row r="294" spans="1:4" ht="24">
      <c r="A294" s="105" t="s">
        <v>305</v>
      </c>
      <c r="B294" s="115" t="s">
        <v>58</v>
      </c>
      <c r="C294" s="72">
        <v>27948</v>
      </c>
      <c r="D294" s="74"/>
    </row>
    <row r="295" spans="1:4" ht="24">
      <c r="A295" s="105" t="s">
        <v>362</v>
      </c>
      <c r="B295" s="115"/>
      <c r="C295" s="72">
        <v>472000</v>
      </c>
      <c r="D295" s="74"/>
    </row>
    <row r="296" spans="1:4" ht="24">
      <c r="A296" s="105" t="s">
        <v>154</v>
      </c>
      <c r="B296" s="116"/>
      <c r="C296" s="72">
        <v>45495.43</v>
      </c>
      <c r="D296" s="74"/>
    </row>
    <row r="297" spans="1:4" ht="24">
      <c r="A297" s="105" t="s">
        <v>45</v>
      </c>
      <c r="B297" s="115" t="s">
        <v>312</v>
      </c>
      <c r="C297" s="72">
        <v>149368</v>
      </c>
      <c r="D297" s="74"/>
    </row>
    <row r="298" spans="1:4" ht="24">
      <c r="A298" s="105" t="s">
        <v>46</v>
      </c>
      <c r="B298" s="116">
        <v>100</v>
      </c>
      <c r="C298" s="72">
        <v>329692</v>
      </c>
      <c r="D298" s="74"/>
    </row>
    <row r="299" spans="1:4" ht="24">
      <c r="A299" s="105" t="s">
        <v>310</v>
      </c>
      <c r="B299" s="116">
        <v>120</v>
      </c>
      <c r="C299" s="72">
        <v>41520</v>
      </c>
      <c r="D299" s="74"/>
    </row>
    <row r="300" spans="1:4" ht="24">
      <c r="A300" s="105" t="s">
        <v>311</v>
      </c>
      <c r="B300" s="116">
        <v>130</v>
      </c>
      <c r="C300" s="72">
        <v>112320</v>
      </c>
      <c r="D300" s="74"/>
    </row>
    <row r="301" spans="1:4" ht="24">
      <c r="A301" s="105" t="s">
        <v>47</v>
      </c>
      <c r="B301" s="116">
        <v>200</v>
      </c>
      <c r="C301" s="72">
        <v>187390</v>
      </c>
      <c r="D301" s="74"/>
    </row>
    <row r="302" spans="1:4" ht="24">
      <c r="A302" s="105" t="s">
        <v>48</v>
      </c>
      <c r="B302" s="116">
        <v>250</v>
      </c>
      <c r="C302" s="72">
        <v>12876</v>
      </c>
      <c r="D302" s="74"/>
    </row>
    <row r="303" spans="1:4" ht="24">
      <c r="A303" s="105" t="s">
        <v>49</v>
      </c>
      <c r="B303" s="116">
        <v>270</v>
      </c>
      <c r="C303" s="72">
        <v>5240</v>
      </c>
      <c r="D303" s="74"/>
    </row>
    <row r="304" spans="1:4" ht="24">
      <c r="A304" s="105" t="s">
        <v>50</v>
      </c>
      <c r="B304" s="116">
        <v>300</v>
      </c>
      <c r="C304" s="72">
        <v>14765.34</v>
      </c>
      <c r="D304" s="74"/>
    </row>
    <row r="305" spans="1:4" ht="24">
      <c r="A305" s="105" t="s">
        <v>114</v>
      </c>
      <c r="B305" s="116">
        <v>400</v>
      </c>
      <c r="C305" s="73">
        <v>66820</v>
      </c>
      <c r="D305" s="74"/>
    </row>
    <row r="306" spans="1:4" ht="24">
      <c r="A306" s="105" t="s">
        <v>51</v>
      </c>
      <c r="B306" s="116">
        <v>450</v>
      </c>
      <c r="C306" s="73">
        <v>0</v>
      </c>
      <c r="D306" s="74"/>
    </row>
    <row r="307" spans="1:4" ht="24">
      <c r="A307" s="105" t="s">
        <v>115</v>
      </c>
      <c r="B307" s="116">
        <v>500</v>
      </c>
      <c r="C307" s="73">
        <v>0</v>
      </c>
      <c r="D307" s="74"/>
    </row>
    <row r="308" spans="1:4" ht="24">
      <c r="A308" s="105" t="s">
        <v>167</v>
      </c>
      <c r="B308" s="115">
        <v>550</v>
      </c>
      <c r="C308" s="73">
        <v>0</v>
      </c>
      <c r="D308" s="74"/>
    </row>
    <row r="309" spans="1:4" ht="24">
      <c r="A309" s="105" t="s">
        <v>313</v>
      </c>
      <c r="B309" s="116"/>
      <c r="D309" s="74">
        <f>'หมายเหตุ 1'!H268</f>
        <v>1376696.3</v>
      </c>
    </row>
    <row r="310" spans="1:4" ht="24">
      <c r="A310" s="234" t="s">
        <v>99</v>
      </c>
      <c r="B310" s="116"/>
      <c r="D310" s="74">
        <f>'หมายเหตุ 2,3 '!G243</f>
        <v>831693.81</v>
      </c>
    </row>
    <row r="311" spans="1:4" ht="24">
      <c r="A311" s="105" t="s">
        <v>314</v>
      </c>
      <c r="B311" s="116"/>
      <c r="D311" s="74">
        <v>166</v>
      </c>
    </row>
    <row r="312" spans="1:4" ht="24">
      <c r="A312" s="105" t="s">
        <v>315</v>
      </c>
      <c r="B312" s="116"/>
      <c r="D312" s="74">
        <f>'หมายเหตุ 4'!I115</f>
        <v>22897.2</v>
      </c>
    </row>
    <row r="313" spans="1:4" ht="24">
      <c r="A313" s="105" t="s">
        <v>316</v>
      </c>
      <c r="B313" s="116"/>
      <c r="D313" s="74">
        <v>0</v>
      </c>
    </row>
    <row r="314" spans="1:4" ht="24">
      <c r="A314" s="105" t="s">
        <v>317</v>
      </c>
      <c r="B314" s="116"/>
      <c r="D314" s="74">
        <f>'หมายเหต 6'!J16</f>
        <v>1422000</v>
      </c>
    </row>
    <row r="315" spans="1:4" ht="24">
      <c r="A315" s="105" t="s">
        <v>19</v>
      </c>
      <c r="B315" s="116"/>
      <c r="D315" s="74">
        <v>620969.51</v>
      </c>
    </row>
    <row r="316" spans="1:4" ht="24">
      <c r="A316" s="105" t="s">
        <v>116</v>
      </c>
      <c r="B316" s="116"/>
      <c r="D316" s="74">
        <v>3275153.03</v>
      </c>
    </row>
    <row r="317" spans="2:4" ht="24.75" thickBot="1">
      <c r="B317" s="116"/>
      <c r="C317" s="271">
        <f>SUM(C290:C310)</f>
        <v>7549575.85</v>
      </c>
      <c r="D317" s="271">
        <f>SUM(D309:D316)</f>
        <v>7549575.85</v>
      </c>
    </row>
    <row r="318" spans="2:4" ht="24.75" thickTop="1">
      <c r="B318" s="117"/>
      <c r="C318" s="217"/>
      <c r="D318" s="217"/>
    </row>
    <row r="319" spans="2:4" ht="24">
      <c r="B319" s="117"/>
      <c r="C319" s="217"/>
      <c r="D319" s="217"/>
    </row>
    <row r="320" spans="2:4" ht="24">
      <c r="B320" s="117"/>
      <c r="C320" s="217"/>
      <c r="D320" s="217"/>
    </row>
    <row r="321" spans="2:4" ht="24">
      <c r="B321" s="117"/>
      <c r="C321" s="217"/>
      <c r="D321" s="217"/>
    </row>
    <row r="322" spans="2:4" ht="24">
      <c r="B322" s="117"/>
      <c r="C322" s="217"/>
      <c r="D322" s="217"/>
    </row>
    <row r="325" spans="1:4" ht="24">
      <c r="A325" s="520" t="s">
        <v>244</v>
      </c>
      <c r="B325" s="520"/>
      <c r="C325" s="520"/>
      <c r="D325" s="520"/>
    </row>
    <row r="326" spans="1:4" ht="24">
      <c r="A326" s="520" t="s">
        <v>62</v>
      </c>
      <c r="B326" s="520"/>
      <c r="C326" s="520"/>
      <c r="D326" s="520"/>
    </row>
    <row r="327" spans="1:4" ht="24">
      <c r="A327" s="521" t="s">
        <v>245</v>
      </c>
      <c r="B327" s="520"/>
      <c r="C327" s="520"/>
      <c r="D327" s="520"/>
    </row>
    <row r="328" ht="20.25" customHeight="1"/>
    <row r="329" spans="1:4" ht="24">
      <c r="A329" s="107" t="s">
        <v>59</v>
      </c>
      <c r="B329" s="108" t="s">
        <v>4</v>
      </c>
      <c r="C329" s="109" t="s">
        <v>60</v>
      </c>
      <c r="D329" s="110" t="s">
        <v>61</v>
      </c>
    </row>
    <row r="330" spans="1:4" ht="24">
      <c r="A330" s="111"/>
      <c r="B330" s="112" t="s">
        <v>5</v>
      </c>
      <c r="C330" s="113"/>
      <c r="D330" s="114"/>
    </row>
    <row r="331" spans="1:4" ht="24">
      <c r="A331" s="105" t="s">
        <v>306</v>
      </c>
      <c r="B331" s="115" t="s">
        <v>55</v>
      </c>
      <c r="C331" s="73">
        <v>314297.69</v>
      </c>
      <c r="D331" s="74"/>
    </row>
    <row r="332" spans="1:4" ht="24">
      <c r="A332" s="105" t="s">
        <v>307</v>
      </c>
      <c r="B332" s="115" t="s">
        <v>56</v>
      </c>
      <c r="C332" s="72">
        <v>191649.24</v>
      </c>
      <c r="D332" s="74"/>
    </row>
    <row r="333" spans="1:4" ht="24">
      <c r="A333" s="105" t="s">
        <v>308</v>
      </c>
      <c r="B333" s="115" t="s">
        <v>56</v>
      </c>
      <c r="C333" s="72">
        <v>4742856.09</v>
      </c>
      <c r="D333" s="74"/>
    </row>
    <row r="334" spans="1:4" ht="24">
      <c r="A334" s="105" t="s">
        <v>309</v>
      </c>
      <c r="B334" s="115" t="s">
        <v>56</v>
      </c>
      <c r="C334" s="72">
        <v>155303.14</v>
      </c>
      <c r="D334" s="74"/>
    </row>
    <row r="335" spans="1:4" ht="24">
      <c r="A335" s="105" t="s">
        <v>305</v>
      </c>
      <c r="B335" s="115" t="s">
        <v>58</v>
      </c>
      <c r="C335" s="72">
        <v>21148</v>
      </c>
      <c r="D335" s="74"/>
    </row>
    <row r="336" spans="1:4" ht="24">
      <c r="A336" s="105" t="s">
        <v>154</v>
      </c>
      <c r="B336" s="116"/>
      <c r="C336" s="72">
        <v>45495.43</v>
      </c>
      <c r="D336" s="74"/>
    </row>
    <row r="337" spans="1:4" ht="24">
      <c r="A337" s="105" t="s">
        <v>45</v>
      </c>
      <c r="B337" s="115" t="s">
        <v>312</v>
      </c>
      <c r="C337" s="72">
        <v>0</v>
      </c>
      <c r="D337" s="74"/>
    </row>
    <row r="338" spans="1:4" ht="24">
      <c r="A338" s="105" t="s">
        <v>46</v>
      </c>
      <c r="B338" s="116">
        <v>100</v>
      </c>
      <c r="C338" s="72">
        <v>158782</v>
      </c>
      <c r="D338" s="74"/>
    </row>
    <row r="339" spans="1:4" ht="24">
      <c r="A339" s="105" t="s">
        <v>310</v>
      </c>
      <c r="B339" s="116">
        <v>120</v>
      </c>
      <c r="C339" s="72">
        <v>20760</v>
      </c>
      <c r="D339" s="74"/>
    </row>
    <row r="340" spans="1:4" ht="24">
      <c r="A340" s="105" t="s">
        <v>311</v>
      </c>
      <c r="B340" s="116">
        <v>130</v>
      </c>
      <c r="C340" s="72">
        <v>56160</v>
      </c>
      <c r="D340" s="74"/>
    </row>
    <row r="341" spans="1:4" ht="24">
      <c r="A341" s="105" t="s">
        <v>47</v>
      </c>
      <c r="B341" s="116">
        <v>200</v>
      </c>
      <c r="C341" s="72">
        <v>83625</v>
      </c>
      <c r="D341" s="74"/>
    </row>
    <row r="342" spans="1:4" ht="24">
      <c r="A342" s="105" t="s">
        <v>48</v>
      </c>
      <c r="B342" s="116">
        <v>250</v>
      </c>
      <c r="C342" s="72">
        <v>1000</v>
      </c>
      <c r="D342" s="74"/>
    </row>
    <row r="343" spans="1:4" ht="24">
      <c r="A343" s="105" t="s">
        <v>49</v>
      </c>
      <c r="B343" s="116">
        <v>270</v>
      </c>
      <c r="C343" s="72">
        <v>0</v>
      </c>
      <c r="D343" s="74"/>
    </row>
    <row r="344" spans="1:4" ht="24">
      <c r="A344" s="105" t="s">
        <v>50</v>
      </c>
      <c r="B344" s="116">
        <v>300</v>
      </c>
      <c r="C344" s="72">
        <v>9388.44</v>
      </c>
      <c r="D344" s="74"/>
    </row>
    <row r="345" spans="1:4" ht="24">
      <c r="A345" s="105" t="s">
        <v>114</v>
      </c>
      <c r="B345" s="116">
        <v>400</v>
      </c>
      <c r="C345" s="73">
        <v>0</v>
      </c>
      <c r="D345" s="74"/>
    </row>
    <row r="346" spans="1:4" ht="24">
      <c r="A346" s="105" t="s">
        <v>51</v>
      </c>
      <c r="B346" s="116">
        <v>450</v>
      </c>
      <c r="C346" s="73">
        <v>0</v>
      </c>
      <c r="D346" s="74"/>
    </row>
    <row r="347" spans="1:4" ht="24">
      <c r="A347" s="105" t="s">
        <v>115</v>
      </c>
      <c r="B347" s="116">
        <v>500</v>
      </c>
      <c r="C347" s="73">
        <v>0</v>
      </c>
      <c r="D347" s="74"/>
    </row>
    <row r="348" spans="1:4" ht="24">
      <c r="A348" s="105" t="s">
        <v>167</v>
      </c>
      <c r="B348" s="115">
        <v>550</v>
      </c>
      <c r="C348" s="73">
        <v>0</v>
      </c>
      <c r="D348" s="74"/>
    </row>
    <row r="349" spans="1:4" ht="24">
      <c r="A349" s="105" t="s">
        <v>313</v>
      </c>
      <c r="B349" s="116"/>
      <c r="D349" s="74">
        <v>997672.26</v>
      </c>
    </row>
    <row r="350" spans="1:4" ht="24">
      <c r="A350" s="234" t="s">
        <v>99</v>
      </c>
      <c r="B350" s="116"/>
      <c r="D350" s="74">
        <v>845607.03</v>
      </c>
    </row>
    <row r="351" spans="1:4" ht="24">
      <c r="A351" s="105" t="s">
        <v>314</v>
      </c>
      <c r="B351" s="116"/>
      <c r="D351" s="74">
        <v>166</v>
      </c>
    </row>
    <row r="352" spans="1:4" ht="24">
      <c r="A352" s="105" t="s">
        <v>315</v>
      </c>
      <c r="B352" s="116"/>
      <c r="D352" s="74">
        <v>60897.2</v>
      </c>
    </row>
    <row r="353" spans="1:4" ht="24">
      <c r="A353" s="105" t="s">
        <v>316</v>
      </c>
      <c r="B353" s="116"/>
      <c r="D353" s="74">
        <v>0</v>
      </c>
    </row>
    <row r="354" spans="1:4" ht="24">
      <c r="A354" s="105" t="s">
        <v>317</v>
      </c>
      <c r="B354" s="116"/>
      <c r="D354" s="74">
        <v>0</v>
      </c>
    </row>
    <row r="355" spans="1:4" ht="24">
      <c r="A355" s="105" t="s">
        <v>19</v>
      </c>
      <c r="B355" s="116"/>
      <c r="D355" s="74">
        <v>620969.51</v>
      </c>
    </row>
    <row r="356" spans="1:4" ht="24">
      <c r="A356" s="105" t="s">
        <v>116</v>
      </c>
      <c r="B356" s="116"/>
      <c r="D356" s="74">
        <v>3275153.03</v>
      </c>
    </row>
    <row r="357" spans="2:4" ht="24.75" thickBot="1">
      <c r="B357" s="116"/>
      <c r="C357" s="271">
        <f>SUM(C331:C350)</f>
        <v>5800465.029999999</v>
      </c>
      <c r="D357" s="271">
        <f>SUM(D349:D356)</f>
        <v>5800465.029999999</v>
      </c>
    </row>
    <row r="358" spans="2:4" ht="24.75" thickTop="1">
      <c r="B358" s="117"/>
      <c r="C358" s="217"/>
      <c r="D358" s="217"/>
    </row>
    <row r="359" spans="2:4" ht="24">
      <c r="B359" s="117"/>
      <c r="C359" s="217"/>
      <c r="D359" s="217"/>
    </row>
    <row r="360" spans="2:4" ht="24">
      <c r="B360" s="117"/>
      <c r="C360" s="217"/>
      <c r="D360" s="217"/>
    </row>
    <row r="361" spans="2:4" ht="24">
      <c r="B361" s="117"/>
      <c r="C361" s="217"/>
      <c r="D361" s="217"/>
    </row>
    <row r="362" spans="2:4" ht="24">
      <c r="B362" s="117"/>
      <c r="C362" s="217"/>
      <c r="D362" s="217"/>
    </row>
    <row r="363" spans="2:4" ht="24">
      <c r="B363" s="117"/>
      <c r="C363" s="217"/>
      <c r="D363" s="217"/>
    </row>
    <row r="364" ht="24">
      <c r="B364" s="117"/>
    </row>
    <row r="365" spans="1:4" ht="24">
      <c r="A365" s="520" t="s">
        <v>244</v>
      </c>
      <c r="B365" s="520"/>
      <c r="C365" s="520"/>
      <c r="D365" s="520"/>
    </row>
    <row r="366" spans="1:4" ht="24">
      <c r="A366" s="520" t="s">
        <v>62</v>
      </c>
      <c r="B366" s="520"/>
      <c r="C366" s="520"/>
      <c r="D366" s="520"/>
    </row>
    <row r="367" spans="1:4" ht="24">
      <c r="A367" s="520" t="s">
        <v>178</v>
      </c>
      <c r="B367" s="520"/>
      <c r="C367" s="520"/>
      <c r="D367" s="520"/>
    </row>
    <row r="368" ht="20.25" customHeight="1"/>
    <row r="369" spans="1:4" ht="24">
      <c r="A369" s="107" t="s">
        <v>59</v>
      </c>
      <c r="B369" s="108" t="s">
        <v>4</v>
      </c>
      <c r="C369" s="109" t="s">
        <v>60</v>
      </c>
      <c r="D369" s="110" t="s">
        <v>61</v>
      </c>
    </row>
    <row r="370" spans="1:4" ht="24">
      <c r="A370" s="111"/>
      <c r="B370" s="112" t="s">
        <v>5</v>
      </c>
      <c r="C370" s="113"/>
      <c r="D370" s="114"/>
    </row>
    <row r="371" spans="1:4" ht="24">
      <c r="A371" s="105" t="s">
        <v>37</v>
      </c>
      <c r="B371" s="115" t="s">
        <v>53</v>
      </c>
      <c r="C371" s="157">
        <v>0</v>
      </c>
      <c r="D371" s="74"/>
    </row>
    <row r="372" spans="1:4" ht="24">
      <c r="A372" s="105" t="s">
        <v>38</v>
      </c>
      <c r="B372" s="115" t="s">
        <v>54</v>
      </c>
      <c r="C372" s="73">
        <v>0</v>
      </c>
      <c r="D372" s="74"/>
    </row>
    <row r="373" spans="1:4" ht="24">
      <c r="A373" s="105" t="s">
        <v>39</v>
      </c>
      <c r="B373" s="115" t="s">
        <v>54</v>
      </c>
      <c r="C373" s="73">
        <v>0</v>
      </c>
      <c r="D373" s="74"/>
    </row>
    <row r="374" spans="1:4" ht="24">
      <c r="A374" s="105" t="s">
        <v>40</v>
      </c>
      <c r="B374" s="115" t="s">
        <v>55</v>
      </c>
      <c r="C374" s="73">
        <v>695425.4</v>
      </c>
      <c r="D374" s="74"/>
    </row>
    <row r="375" spans="1:4" ht="24">
      <c r="A375" s="105" t="s">
        <v>41</v>
      </c>
      <c r="B375" s="115" t="s">
        <v>56</v>
      </c>
      <c r="C375" s="72">
        <v>14626608.57</v>
      </c>
      <c r="D375" s="74"/>
    </row>
    <row r="376" spans="1:4" ht="24">
      <c r="A376" s="105" t="s">
        <v>42</v>
      </c>
      <c r="B376" s="115" t="s">
        <v>56</v>
      </c>
      <c r="C376" s="72">
        <v>636560.78</v>
      </c>
      <c r="D376" s="74"/>
    </row>
    <row r="377" spans="1:4" ht="24">
      <c r="A377" s="105" t="s">
        <v>43</v>
      </c>
      <c r="B377" s="115" t="s">
        <v>56</v>
      </c>
      <c r="C377" s="72">
        <v>2931984.26</v>
      </c>
      <c r="D377" s="74"/>
    </row>
    <row r="378" spans="1:4" ht="24">
      <c r="A378" s="105" t="s">
        <v>98</v>
      </c>
      <c r="B378" s="115" t="s">
        <v>57</v>
      </c>
      <c r="C378" s="72">
        <v>2729778.86</v>
      </c>
      <c r="D378" s="74"/>
    </row>
    <row r="379" spans="1:4" ht="24">
      <c r="A379" s="105" t="s">
        <v>44</v>
      </c>
      <c r="B379" s="116"/>
      <c r="C379" s="72">
        <v>0</v>
      </c>
      <c r="D379" s="74"/>
    </row>
    <row r="380" spans="1:4" ht="24">
      <c r="A380" s="105" t="s">
        <v>154</v>
      </c>
      <c r="B380" s="116"/>
      <c r="C380" s="72">
        <v>2097.6</v>
      </c>
      <c r="D380" s="74"/>
    </row>
    <row r="381" spans="1:4" ht="24">
      <c r="A381" s="105" t="s">
        <v>101</v>
      </c>
      <c r="B381" s="116">
        <v>600</v>
      </c>
      <c r="D381" s="74">
        <v>8574738</v>
      </c>
    </row>
    <row r="382" spans="1:4" ht="24">
      <c r="A382" s="105" t="s">
        <v>103</v>
      </c>
      <c r="B382" s="116"/>
      <c r="D382" s="74">
        <v>1379296.45</v>
      </c>
    </row>
    <row r="383" spans="1:4" ht="24">
      <c r="A383" s="105" t="s">
        <v>20</v>
      </c>
      <c r="B383" s="116"/>
      <c r="D383" s="74">
        <v>391548.62</v>
      </c>
    </row>
    <row r="384" spans="1:4" ht="24">
      <c r="A384" s="105" t="s">
        <v>19</v>
      </c>
      <c r="B384" s="116">
        <v>700</v>
      </c>
      <c r="D384" s="74">
        <v>4011509.5</v>
      </c>
    </row>
    <row r="385" spans="1:4" ht="24">
      <c r="A385" s="105" t="s">
        <v>116</v>
      </c>
      <c r="B385" s="116">
        <v>703</v>
      </c>
      <c r="D385" s="74">
        <v>5998558.3</v>
      </c>
    </row>
    <row r="386" spans="1:4" ht="24">
      <c r="A386" s="105" t="s">
        <v>179</v>
      </c>
      <c r="B386" s="116">
        <v>900</v>
      </c>
      <c r="D386" s="104">
        <v>635215.9</v>
      </c>
    </row>
    <row r="387" spans="1:4" ht="24">
      <c r="A387" s="105" t="s">
        <v>52</v>
      </c>
      <c r="B387" s="116"/>
      <c r="D387" s="74">
        <v>631588.7</v>
      </c>
    </row>
    <row r="388" spans="2:4" ht="24.75" thickBot="1">
      <c r="B388" s="116"/>
      <c r="C388" s="119">
        <f>SUM(C371:C387)</f>
        <v>21622455.47</v>
      </c>
      <c r="D388" s="119">
        <f>SUM(D371:D387)</f>
        <v>21622455.469999995</v>
      </c>
    </row>
    <row r="389" ht="24.75" thickTop="1"/>
  </sheetData>
  <mergeCells count="30">
    <mergeCell ref="A367:D367"/>
    <mergeCell ref="A325:D325"/>
    <mergeCell ref="A326:D326"/>
    <mergeCell ref="A327:D327"/>
    <mergeCell ref="A365:D365"/>
    <mergeCell ref="A366:D366"/>
    <mergeCell ref="A123:D123"/>
    <mergeCell ref="A286:D286"/>
    <mergeCell ref="A285:D285"/>
    <mergeCell ref="A201:D201"/>
    <mergeCell ref="A202:D202"/>
    <mergeCell ref="A203:D203"/>
    <mergeCell ref="A244:D244"/>
    <mergeCell ref="A245:D245"/>
    <mergeCell ref="A246:D246"/>
    <mergeCell ref="A284:D284"/>
    <mergeCell ref="A161:D161"/>
    <mergeCell ref="A162:D162"/>
    <mergeCell ref="A163:D163"/>
    <mergeCell ref="A42:D42"/>
    <mergeCell ref="A43:D43"/>
    <mergeCell ref="A81:D81"/>
    <mergeCell ref="A82:D82"/>
    <mergeCell ref="A83:D83"/>
    <mergeCell ref="A121:D121"/>
    <mergeCell ref="A122:D122"/>
    <mergeCell ref="A1:D1"/>
    <mergeCell ref="A2:D2"/>
    <mergeCell ref="A3:D3"/>
    <mergeCell ref="A41:D41"/>
  </mergeCells>
  <printOptions/>
  <pageMargins left="1.1023622047244095" right="0.5511811023622047" top="0" bottom="0" header="0.5118110236220472" footer="0.5118110236220472"/>
  <pageSetup horizontalDpi="180" verticalDpi="18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1"/>
  <dimension ref="A3:K120"/>
  <sheetViews>
    <sheetView tabSelected="1" zoomScale="75" zoomScaleNormal="75" workbookViewId="0" topLeftCell="A13">
      <selection activeCell="I33" sqref="I33"/>
    </sheetView>
  </sheetViews>
  <sheetFormatPr defaultColWidth="9.140625" defaultRowHeight="21.75"/>
  <cols>
    <col min="1" max="1" width="9.7109375" style="0" customWidth="1"/>
    <col min="2" max="2" width="19.57421875" style="12" customWidth="1"/>
    <col min="3" max="3" width="25.140625" style="53" customWidth="1"/>
    <col min="4" max="4" width="24.421875" style="0" customWidth="1"/>
    <col min="5" max="5" width="21.8515625" style="12" customWidth="1"/>
    <col min="6" max="6" width="12.140625" style="12" customWidth="1"/>
    <col min="7" max="7" width="13.8515625" style="12" bestFit="1" customWidth="1"/>
    <col min="9" max="9" width="10.57421875" style="0" bestFit="1" customWidth="1"/>
    <col min="10" max="10" width="12.8515625" style="0" bestFit="1" customWidth="1"/>
    <col min="11" max="11" width="10.00390625" style="0" bestFit="1" customWidth="1"/>
  </cols>
  <sheetData>
    <row r="3" spans="1:7" s="39" customFormat="1" ht="26.25">
      <c r="A3" s="35" t="s">
        <v>336</v>
      </c>
      <c r="B3" s="36"/>
      <c r="C3" s="37"/>
      <c r="D3" s="35" t="s">
        <v>337</v>
      </c>
      <c r="E3" s="38"/>
      <c r="F3" s="60"/>
      <c r="G3" s="60"/>
    </row>
    <row r="4" spans="1:11" s="39" customFormat="1" ht="26.25">
      <c r="A4" s="40" t="s">
        <v>84</v>
      </c>
      <c r="B4" s="41"/>
      <c r="C4" s="42"/>
      <c r="D4" s="40" t="s">
        <v>338</v>
      </c>
      <c r="E4" s="43"/>
      <c r="F4" s="60"/>
      <c r="G4" s="60"/>
      <c r="H4" s="39" t="s">
        <v>393</v>
      </c>
      <c r="I4" s="39">
        <v>8227852</v>
      </c>
      <c r="J4" s="452">
        <v>40190</v>
      </c>
      <c r="K4" s="39">
        <v>8450</v>
      </c>
    </row>
    <row r="5" spans="1:11" ht="21.75">
      <c r="A5" s="6"/>
      <c r="B5" s="44"/>
      <c r="C5" s="45"/>
      <c r="D5" s="7"/>
      <c r="E5" s="46" t="s">
        <v>85</v>
      </c>
      <c r="I5">
        <v>8229174</v>
      </c>
      <c r="J5" s="453">
        <v>40228</v>
      </c>
      <c r="K5">
        <v>23062</v>
      </c>
    </row>
    <row r="6" spans="1:7" s="178" customFormat="1" ht="12.75">
      <c r="A6" s="172"/>
      <c r="B6" s="173"/>
      <c r="C6" s="174"/>
      <c r="D6" s="175"/>
      <c r="E6" s="176"/>
      <c r="F6" s="177"/>
      <c r="G6" s="177"/>
    </row>
    <row r="7" spans="1:7" s="277" customFormat="1" ht="21">
      <c r="A7" s="310" t="s">
        <v>420</v>
      </c>
      <c r="B7" s="300"/>
      <c r="C7" s="301"/>
      <c r="D7" s="302"/>
      <c r="E7" s="294">
        <v>10044879.21</v>
      </c>
      <c r="F7" s="281"/>
      <c r="G7" s="281"/>
    </row>
    <row r="8" spans="1:7" s="243" customFormat="1" ht="21.75">
      <c r="A8" s="237" t="s">
        <v>86</v>
      </c>
      <c r="B8" s="238"/>
      <c r="C8" s="244"/>
      <c r="D8" s="240"/>
      <c r="E8" s="241"/>
      <c r="F8" s="242"/>
      <c r="G8" s="242"/>
    </row>
    <row r="9" spans="1:9" s="252" customFormat="1" ht="21.75">
      <c r="A9" s="245"/>
      <c r="B9" s="246" t="s">
        <v>87</v>
      </c>
      <c r="C9" s="247" t="s">
        <v>88</v>
      </c>
      <c r="D9" s="248" t="s">
        <v>89</v>
      </c>
      <c r="E9" s="249"/>
      <c r="F9" s="250"/>
      <c r="G9" s="251"/>
      <c r="I9" s="263">
        <v>1250</v>
      </c>
    </row>
    <row r="10" spans="1:9" s="252" customFormat="1" ht="21.75">
      <c r="A10" s="245"/>
      <c r="B10" s="246"/>
      <c r="C10" s="247"/>
      <c r="D10" s="248"/>
      <c r="E10" s="249"/>
      <c r="F10" s="250"/>
      <c r="G10" s="251"/>
      <c r="I10" s="263">
        <v>4948</v>
      </c>
    </row>
    <row r="11" spans="1:9" s="252" customFormat="1" ht="21.75">
      <c r="A11" s="245"/>
      <c r="B11" s="246"/>
      <c r="C11" s="247"/>
      <c r="D11" s="248"/>
      <c r="E11" s="249"/>
      <c r="F11" s="250"/>
      <c r="G11" s="251"/>
      <c r="I11" s="263">
        <v>1925</v>
      </c>
    </row>
    <row r="12" spans="1:9" s="252" customFormat="1" ht="21.75">
      <c r="A12" s="245"/>
      <c r="B12" s="246"/>
      <c r="C12" s="247"/>
      <c r="D12" s="248"/>
      <c r="E12" s="249"/>
      <c r="F12" s="250"/>
      <c r="G12" s="262">
        <v>12059645.35</v>
      </c>
      <c r="I12" s="263"/>
    </row>
    <row r="13" spans="1:7" s="258" customFormat="1" ht="21.75">
      <c r="A13" s="253"/>
      <c r="B13" s="254"/>
      <c r="C13" s="254"/>
      <c r="D13" s="255"/>
      <c r="E13" s="256"/>
      <c r="F13" s="257"/>
      <c r="G13" s="257">
        <v>12043072.35</v>
      </c>
    </row>
    <row r="14" spans="1:7" s="243" customFormat="1" ht="21.75">
      <c r="A14" s="237" t="s">
        <v>90</v>
      </c>
      <c r="B14" s="238"/>
      <c r="C14" s="244"/>
      <c r="D14" s="240"/>
      <c r="E14" s="241"/>
      <c r="F14" s="242"/>
      <c r="G14" s="242">
        <f>G12-G13</f>
        <v>16573</v>
      </c>
    </row>
    <row r="15" spans="1:7" s="263" customFormat="1" ht="21.75">
      <c r="A15" s="259"/>
      <c r="B15" s="239" t="s">
        <v>91</v>
      </c>
      <c r="C15" s="239" t="s">
        <v>92</v>
      </c>
      <c r="D15" s="260" t="s">
        <v>89</v>
      </c>
      <c r="E15" s="261"/>
      <c r="F15" s="262"/>
      <c r="G15" s="262"/>
    </row>
    <row r="16" spans="1:7" s="317" customFormat="1" ht="22.5">
      <c r="A16" s="237"/>
      <c r="B16" s="454">
        <v>238517</v>
      </c>
      <c r="C16" s="400" t="s">
        <v>387</v>
      </c>
      <c r="D16" s="261">
        <v>8450</v>
      </c>
      <c r="E16" s="315"/>
      <c r="F16" s="316"/>
      <c r="G16" s="316"/>
    </row>
    <row r="17" spans="1:10" s="317" customFormat="1" ht="22.5">
      <c r="A17" s="237"/>
      <c r="B17" s="454">
        <v>238685</v>
      </c>
      <c r="C17" s="400" t="s">
        <v>424</v>
      </c>
      <c r="D17" s="261">
        <v>4000</v>
      </c>
      <c r="E17" s="315"/>
      <c r="F17" s="316"/>
      <c r="G17" s="316"/>
      <c r="J17" s="316">
        <v>600</v>
      </c>
    </row>
    <row r="18" spans="1:10" s="317" customFormat="1" ht="22.5">
      <c r="A18" s="237"/>
      <c r="B18" s="457"/>
      <c r="C18" s="400"/>
      <c r="D18" s="261"/>
      <c r="E18" s="315"/>
      <c r="F18" s="316"/>
      <c r="G18" s="316"/>
      <c r="J18" s="316">
        <v>3368</v>
      </c>
    </row>
    <row r="19" spans="1:10" s="317" customFormat="1" ht="22.5">
      <c r="A19" s="237"/>
      <c r="B19" s="457"/>
      <c r="C19" s="400"/>
      <c r="D19" s="261"/>
      <c r="E19" s="315"/>
      <c r="F19" s="316"/>
      <c r="G19" s="316"/>
      <c r="J19" s="316">
        <v>5500</v>
      </c>
    </row>
    <row r="20" spans="1:10" s="317" customFormat="1" ht="22.5">
      <c r="A20" s="237"/>
      <c r="B20" s="457"/>
      <c r="C20" s="400"/>
      <c r="D20" s="261"/>
      <c r="E20" s="315"/>
      <c r="F20" s="316"/>
      <c r="G20" s="316"/>
      <c r="J20" s="316">
        <v>48.97</v>
      </c>
    </row>
    <row r="21" spans="1:10" s="317" customFormat="1" ht="22.5">
      <c r="A21" s="237"/>
      <c r="B21" s="264"/>
      <c r="C21" s="400"/>
      <c r="D21" s="261"/>
      <c r="E21" s="315"/>
      <c r="F21" s="316"/>
      <c r="G21" s="316"/>
      <c r="J21" s="316" t="e">
        <f>#REF!-J17-J18-J19+#REF!+J20</f>
        <v>#REF!</v>
      </c>
    </row>
    <row r="22" spans="1:10" s="317" customFormat="1" ht="22.5">
      <c r="A22" s="237"/>
      <c r="B22" s="266"/>
      <c r="C22" s="337"/>
      <c r="D22" s="261"/>
      <c r="E22" s="315">
        <f>D16+D17+D18+D19+D20+D21</f>
        <v>12450</v>
      </c>
      <c r="F22" s="316"/>
      <c r="G22" s="316"/>
      <c r="J22" s="316"/>
    </row>
    <row r="23" spans="1:10" s="153" customFormat="1" ht="21.75">
      <c r="A23" s="237" t="s">
        <v>169</v>
      </c>
      <c r="B23" s="264"/>
      <c r="C23" s="265"/>
      <c r="D23" s="261"/>
      <c r="E23" s="241"/>
      <c r="F23" s="171"/>
      <c r="G23" s="171"/>
      <c r="J23" s="171"/>
    </row>
    <row r="24" spans="1:10" s="153" customFormat="1" ht="25.5" customHeight="1">
      <c r="A24" s="237"/>
      <c r="B24" s="264"/>
      <c r="C24" s="239" t="s">
        <v>93</v>
      </c>
      <c r="D24" s="261"/>
      <c r="E24" s="241"/>
      <c r="F24" s="171"/>
      <c r="G24" s="171"/>
      <c r="J24" s="171"/>
    </row>
    <row r="25" spans="1:10" s="153" customFormat="1" ht="25.5" customHeight="1">
      <c r="A25" s="237"/>
      <c r="B25" s="457">
        <v>40329</v>
      </c>
      <c r="C25" s="239" t="s">
        <v>413</v>
      </c>
      <c r="D25" s="261"/>
      <c r="E25" s="391">
        <v>1250</v>
      </c>
      <c r="F25" s="171"/>
      <c r="G25" s="171"/>
      <c r="J25" s="171"/>
    </row>
    <row r="26" spans="1:10" s="153" customFormat="1" ht="25.5" customHeight="1">
      <c r="A26" s="237"/>
      <c r="B26" s="457"/>
      <c r="C26" s="239"/>
      <c r="D26" s="261"/>
      <c r="E26" s="241"/>
      <c r="F26" s="171"/>
      <c r="G26" s="171"/>
      <c r="J26" s="171"/>
    </row>
    <row r="27" spans="1:11" s="153" customFormat="1" ht="21.75" customHeight="1">
      <c r="A27" s="237"/>
      <c r="B27" s="266"/>
      <c r="C27" s="239"/>
      <c r="D27" s="261"/>
      <c r="E27" s="241"/>
      <c r="F27" s="171"/>
      <c r="G27" s="171"/>
      <c r="I27" s="153" t="e">
        <f>#REF!-#REF!</f>
        <v>#REF!</v>
      </c>
      <c r="K27" s="427" t="e">
        <f>SUM(#REF!)</f>
        <v>#REF!</v>
      </c>
    </row>
    <row r="28" spans="1:7" s="299" customFormat="1" ht="27" customHeight="1" thickBot="1">
      <c r="A28" s="311" t="s">
        <v>421</v>
      </c>
      <c r="B28" s="295"/>
      <c r="C28" s="296"/>
      <c r="D28" s="297"/>
      <c r="E28" s="351">
        <f>E7-E22-E25</f>
        <v>10031179.21</v>
      </c>
      <c r="F28" s="298"/>
      <c r="G28" s="298"/>
    </row>
    <row r="29" spans="1:7" s="258" customFormat="1" ht="26.25" customHeight="1" thickTop="1">
      <c r="A29" s="527" t="s">
        <v>73</v>
      </c>
      <c r="B29" s="528"/>
      <c r="C29" s="529"/>
      <c r="D29" s="527" t="s">
        <v>94</v>
      </c>
      <c r="E29" s="530"/>
      <c r="F29" s="257"/>
      <c r="G29" s="257"/>
    </row>
    <row r="30" spans="1:7" s="258" customFormat="1" ht="21.75">
      <c r="A30" s="267"/>
      <c r="B30" s="268"/>
      <c r="C30" s="269"/>
      <c r="D30" s="267"/>
      <c r="E30" s="269"/>
      <c r="F30" s="257"/>
      <c r="G30" s="257"/>
    </row>
    <row r="31" spans="1:8" s="258" customFormat="1" ht="24.75" customHeight="1">
      <c r="A31" s="328" t="s">
        <v>155</v>
      </c>
      <c r="B31" s="268"/>
      <c r="C31" s="312" t="s">
        <v>422</v>
      </c>
      <c r="D31" s="270" t="s">
        <v>174</v>
      </c>
      <c r="E31" s="312" t="str">
        <f>C31</f>
        <v>วันที่ 30  มิถุนายน  2553</v>
      </c>
      <c r="F31" s="257"/>
      <c r="G31" s="257"/>
      <c r="H31" s="258" t="s">
        <v>423</v>
      </c>
    </row>
    <row r="32" spans="1:7" s="258" customFormat="1" ht="24" customHeight="1">
      <c r="A32" s="531" t="s">
        <v>156</v>
      </c>
      <c r="B32" s="532"/>
      <c r="C32" s="533"/>
      <c r="D32" s="531" t="s">
        <v>332</v>
      </c>
      <c r="E32" s="533"/>
      <c r="F32" s="257"/>
      <c r="G32" s="257"/>
    </row>
    <row r="33" spans="1:7" s="258" customFormat="1" ht="27" customHeight="1">
      <c r="A33" s="524" t="s">
        <v>118</v>
      </c>
      <c r="B33" s="525"/>
      <c r="C33" s="526"/>
      <c r="D33" s="524" t="s">
        <v>394</v>
      </c>
      <c r="E33" s="526"/>
      <c r="F33" s="257"/>
      <c r="G33" s="257"/>
    </row>
    <row r="38" spans="1:5" ht="26.25">
      <c r="A38" s="35" t="s">
        <v>336</v>
      </c>
      <c r="B38" s="36"/>
      <c r="C38" s="37"/>
      <c r="D38" s="35" t="s">
        <v>373</v>
      </c>
      <c r="E38" s="38"/>
    </row>
    <row r="39" spans="1:5" ht="26.25">
      <c r="A39" s="40" t="s">
        <v>84</v>
      </c>
      <c r="B39" s="41"/>
      <c r="C39" s="42"/>
      <c r="D39" s="40" t="s">
        <v>374</v>
      </c>
      <c r="E39" s="43"/>
    </row>
    <row r="40" spans="1:5" ht="21.75">
      <c r="A40" s="6"/>
      <c r="B40" s="44"/>
      <c r="C40" s="45"/>
      <c r="D40" s="7"/>
      <c r="E40" s="46" t="s">
        <v>85</v>
      </c>
    </row>
    <row r="41" spans="1:5" ht="21.75">
      <c r="A41" s="172"/>
      <c r="B41" s="173"/>
      <c r="C41" s="174"/>
      <c r="D41" s="175"/>
      <c r="E41" s="176"/>
    </row>
    <row r="42" spans="1:5" ht="21.75">
      <c r="A42" s="310" t="s">
        <v>375</v>
      </c>
      <c r="B42" s="300"/>
      <c r="C42" s="301"/>
      <c r="D42" s="302"/>
      <c r="E42" s="294">
        <v>56468.03</v>
      </c>
    </row>
    <row r="43" spans="1:5" ht="21.75">
      <c r="A43" s="237" t="s">
        <v>86</v>
      </c>
      <c r="B43" s="238"/>
      <c r="C43" s="244"/>
      <c r="D43" s="240"/>
      <c r="E43" s="241"/>
    </row>
    <row r="44" spans="1:5" ht="21.75">
      <c r="A44" s="245"/>
      <c r="B44" s="246" t="s">
        <v>87</v>
      </c>
      <c r="C44" s="247" t="s">
        <v>88</v>
      </c>
      <c r="D44" s="248" t="s">
        <v>89</v>
      </c>
      <c r="E44" s="249"/>
    </row>
    <row r="45" spans="1:5" ht="21.75">
      <c r="A45" s="245"/>
      <c r="B45" s="246"/>
      <c r="C45" s="247"/>
      <c r="D45" s="248"/>
      <c r="E45" s="249"/>
    </row>
    <row r="46" spans="1:5" ht="21.75">
      <c r="A46" s="245"/>
      <c r="B46" s="246"/>
      <c r="C46" s="247"/>
      <c r="D46" s="248"/>
      <c r="E46" s="249"/>
    </row>
    <row r="47" spans="1:5" ht="21.75">
      <c r="A47" s="245"/>
      <c r="B47" s="246"/>
      <c r="C47" s="247"/>
      <c r="D47" s="248"/>
      <c r="E47" s="249"/>
    </row>
    <row r="48" spans="1:5" ht="21.75">
      <c r="A48" s="253"/>
      <c r="B48" s="254"/>
      <c r="C48" s="254"/>
      <c r="D48" s="255"/>
      <c r="E48" s="256"/>
    </row>
    <row r="49" spans="1:5" ht="21.75">
      <c r="A49" s="237" t="s">
        <v>90</v>
      </c>
      <c r="B49" s="238"/>
      <c r="C49" s="244"/>
      <c r="D49" s="240"/>
      <c r="E49" s="241"/>
    </row>
    <row r="50" spans="1:5" ht="21.75">
      <c r="A50" s="259"/>
      <c r="B50" s="239" t="s">
        <v>91</v>
      </c>
      <c r="C50" s="239" t="s">
        <v>92</v>
      </c>
      <c r="D50" s="260" t="s">
        <v>89</v>
      </c>
      <c r="E50" s="261"/>
    </row>
    <row r="51" spans="1:5" ht="22.5">
      <c r="A51" s="237"/>
      <c r="B51" s="264"/>
      <c r="C51" s="400"/>
      <c r="D51" s="261"/>
      <c r="E51" s="315"/>
    </row>
    <row r="52" spans="1:5" ht="22.5">
      <c r="A52" s="237"/>
      <c r="B52" s="264"/>
      <c r="C52" s="400"/>
      <c r="D52" s="261"/>
      <c r="E52" s="315"/>
    </row>
    <row r="53" spans="1:5" ht="22.5">
      <c r="A53" s="237"/>
      <c r="B53" s="264"/>
      <c r="C53" s="400"/>
      <c r="D53" s="261"/>
      <c r="E53" s="315"/>
    </row>
    <row r="54" spans="1:5" ht="22.5">
      <c r="A54" s="237"/>
      <c r="B54" s="264"/>
      <c r="C54" s="400"/>
      <c r="D54" s="261"/>
      <c r="E54" s="315"/>
    </row>
    <row r="55" spans="1:5" ht="22.5">
      <c r="A55" s="237"/>
      <c r="B55" s="264"/>
      <c r="C55" s="400"/>
      <c r="D55" s="261"/>
      <c r="E55" s="315"/>
    </row>
    <row r="56" spans="1:5" ht="22.5">
      <c r="A56" s="237"/>
      <c r="B56" s="264"/>
      <c r="C56" s="400"/>
      <c r="D56" s="261"/>
      <c r="E56" s="315"/>
    </row>
    <row r="57" spans="1:5" ht="22.5">
      <c r="A57" s="237"/>
      <c r="B57" s="264"/>
      <c r="C57" s="400"/>
      <c r="D57" s="261"/>
      <c r="E57" s="315"/>
    </row>
    <row r="58" spans="1:5" ht="22.5">
      <c r="A58" s="237"/>
      <c r="B58" s="264"/>
      <c r="C58" s="400"/>
      <c r="D58" s="261"/>
      <c r="E58" s="315"/>
    </row>
    <row r="59" spans="1:5" ht="22.5">
      <c r="A59" s="237"/>
      <c r="B59" s="266"/>
      <c r="C59" s="337"/>
      <c r="D59" s="261"/>
      <c r="E59" s="315">
        <f>D51+D52+D53+D54+D55+D56+D57+D58</f>
        <v>0</v>
      </c>
    </row>
    <row r="60" spans="1:5" ht="21.75">
      <c r="A60" s="237" t="s">
        <v>169</v>
      </c>
      <c r="B60" s="264"/>
      <c r="C60" s="265"/>
      <c r="D60" s="261"/>
      <c r="E60" s="241"/>
    </row>
    <row r="61" spans="1:5" ht="21.75">
      <c r="A61" s="237"/>
      <c r="B61" s="264"/>
      <c r="C61" s="239" t="s">
        <v>93</v>
      </c>
      <c r="D61" s="261"/>
      <c r="E61" s="241"/>
    </row>
    <row r="62" spans="1:5" ht="21.75">
      <c r="A62" s="237"/>
      <c r="B62" s="534" t="s">
        <v>376</v>
      </c>
      <c r="C62" s="534"/>
      <c r="D62" s="261"/>
      <c r="E62" s="241">
        <v>418.24</v>
      </c>
    </row>
    <row r="63" spans="1:5" ht="21.75">
      <c r="A63" s="237"/>
      <c r="B63" s="266"/>
      <c r="C63" s="239" t="s">
        <v>63</v>
      </c>
      <c r="D63" s="261"/>
      <c r="E63" s="241"/>
    </row>
    <row r="64" spans="1:5" ht="23.25" thickBot="1">
      <c r="A64" s="311" t="s">
        <v>339</v>
      </c>
      <c r="B64" s="295"/>
      <c r="C64" s="296"/>
      <c r="D64" s="297"/>
      <c r="E64" s="351">
        <f>E42-E59-E62</f>
        <v>56049.79</v>
      </c>
    </row>
    <row r="65" spans="1:5" ht="22.5" thickTop="1">
      <c r="A65" s="527" t="s">
        <v>73</v>
      </c>
      <c r="B65" s="528"/>
      <c r="C65" s="529"/>
      <c r="D65" s="527" t="s">
        <v>94</v>
      </c>
      <c r="E65" s="530"/>
    </row>
    <row r="66" spans="1:5" ht="21.75">
      <c r="A66" s="267"/>
      <c r="B66" s="268"/>
      <c r="C66" s="269"/>
      <c r="D66" s="267"/>
      <c r="E66" s="269"/>
    </row>
    <row r="67" spans="1:5" ht="21.75">
      <c r="A67" s="328" t="s">
        <v>155</v>
      </c>
      <c r="B67" s="268"/>
      <c r="C67" s="312" t="s">
        <v>377</v>
      </c>
      <c r="D67" s="270" t="s">
        <v>174</v>
      </c>
      <c r="E67" s="312" t="s">
        <v>378</v>
      </c>
    </row>
    <row r="68" spans="1:5" ht="21.75">
      <c r="A68" s="531" t="s">
        <v>156</v>
      </c>
      <c r="B68" s="532"/>
      <c r="C68" s="533"/>
      <c r="D68" s="531" t="s">
        <v>332</v>
      </c>
      <c r="E68" s="533"/>
    </row>
    <row r="69" spans="1:5" ht="21.75">
      <c r="A69" s="524" t="s">
        <v>118</v>
      </c>
      <c r="B69" s="525"/>
      <c r="C69" s="526"/>
      <c r="D69" s="524" t="s">
        <v>95</v>
      </c>
      <c r="E69" s="526"/>
    </row>
    <row r="73" spans="1:5" ht="21.75">
      <c r="A73" s="522"/>
      <c r="B73" s="522"/>
      <c r="C73" s="522"/>
      <c r="D73" s="522"/>
      <c r="E73" s="522"/>
    </row>
    <row r="74" spans="1:5" ht="21.75">
      <c r="A74" s="522"/>
      <c r="B74" s="522"/>
      <c r="C74" s="522"/>
      <c r="D74" s="522"/>
      <c r="E74" s="522"/>
    </row>
    <row r="75" spans="1:5" ht="21.75">
      <c r="A75" s="22"/>
      <c r="B75" s="17"/>
      <c r="C75" s="47"/>
      <c r="D75" s="22"/>
      <c r="E75" s="17"/>
    </row>
    <row r="76" spans="1:5" ht="21.75">
      <c r="A76" s="22"/>
      <c r="B76" s="17"/>
      <c r="C76" s="47"/>
      <c r="D76" s="22"/>
      <c r="E76" s="17"/>
    </row>
    <row r="77" spans="1:5" ht="26.25">
      <c r="A77" s="401"/>
      <c r="B77" s="402"/>
      <c r="C77" s="403"/>
      <c r="D77" s="401"/>
      <c r="E77" s="402"/>
    </row>
    <row r="78" spans="1:5" ht="26.25">
      <c r="A78" s="401"/>
      <c r="B78" s="402"/>
      <c r="C78" s="403"/>
      <c r="D78" s="401"/>
      <c r="E78" s="402"/>
    </row>
    <row r="79" spans="1:5" ht="21.75">
      <c r="A79" s="22"/>
      <c r="B79" s="17"/>
      <c r="C79" s="47"/>
      <c r="D79" s="22"/>
      <c r="E79" s="404"/>
    </row>
    <row r="80" spans="1:5" ht="21.75">
      <c r="A80" s="22"/>
      <c r="B80" s="17"/>
      <c r="C80" s="47"/>
      <c r="D80" s="22"/>
      <c r="E80" s="17"/>
    </row>
    <row r="81" spans="1:5" ht="21.75">
      <c r="A81" s="34"/>
      <c r="B81" s="17"/>
      <c r="C81" s="122"/>
      <c r="D81" s="22"/>
      <c r="E81" s="17"/>
    </row>
    <row r="82" spans="1:5" ht="21.75">
      <c r="A82" s="22"/>
      <c r="B82" s="17"/>
      <c r="C82" s="47"/>
      <c r="D82" s="22"/>
      <c r="E82" s="17"/>
    </row>
    <row r="83" spans="1:5" ht="21.75">
      <c r="A83" s="405"/>
      <c r="B83" s="48"/>
      <c r="C83" s="49"/>
      <c r="D83" s="405"/>
      <c r="E83" s="48"/>
    </row>
    <row r="84" spans="1:5" ht="21.75">
      <c r="A84" s="22"/>
      <c r="B84" s="51"/>
      <c r="C84" s="51"/>
      <c r="D84" s="52"/>
      <c r="E84" s="17"/>
    </row>
    <row r="85" spans="1:5" ht="21.75">
      <c r="A85" s="22"/>
      <c r="B85" s="50"/>
      <c r="C85" s="50"/>
      <c r="D85" s="154"/>
      <c r="E85" s="17"/>
    </row>
    <row r="86" spans="1:5" ht="21.75">
      <c r="A86" s="22"/>
      <c r="B86" s="17"/>
      <c r="C86" s="47"/>
      <c r="D86" s="22"/>
      <c r="E86" s="17"/>
    </row>
    <row r="87" spans="1:5" ht="21.75">
      <c r="A87" s="154"/>
      <c r="B87" s="50"/>
      <c r="C87" s="50"/>
      <c r="D87" s="154"/>
      <c r="E87" s="406"/>
    </row>
    <row r="88" spans="1:5" ht="21.75">
      <c r="A88" s="22"/>
      <c r="B88" s="51"/>
      <c r="C88" s="309"/>
      <c r="D88" s="50"/>
      <c r="E88" s="17"/>
    </row>
    <row r="89" spans="1:5" ht="21.75">
      <c r="A89" s="22"/>
      <c r="B89" s="75"/>
      <c r="C89" s="309"/>
      <c r="D89" s="50"/>
      <c r="E89" s="17"/>
    </row>
    <row r="90" spans="1:5" ht="21.75">
      <c r="A90" s="22"/>
      <c r="B90" s="75"/>
      <c r="C90" s="309"/>
      <c r="D90" s="50"/>
      <c r="E90" s="17"/>
    </row>
    <row r="91" spans="1:5" ht="21.75">
      <c r="A91" s="22"/>
      <c r="B91" s="338"/>
      <c r="C91" s="309"/>
      <c r="D91" s="50"/>
      <c r="E91" s="17"/>
    </row>
    <row r="92" spans="1:5" ht="21.75">
      <c r="A92" s="22"/>
      <c r="B92" s="75"/>
      <c r="C92" s="309"/>
      <c r="D92" s="50"/>
      <c r="E92" s="17"/>
    </row>
    <row r="93" spans="1:5" ht="21.75">
      <c r="A93" s="22"/>
      <c r="B93" s="75"/>
      <c r="C93" s="309"/>
      <c r="D93" s="50"/>
      <c r="E93" s="17"/>
    </row>
    <row r="94" spans="1:5" ht="21.75">
      <c r="A94" s="22"/>
      <c r="B94" s="75"/>
      <c r="C94" s="309"/>
      <c r="D94" s="50"/>
      <c r="E94" s="17"/>
    </row>
    <row r="95" spans="1:5" ht="21.75">
      <c r="A95" s="22"/>
      <c r="B95" s="75"/>
      <c r="C95" s="309"/>
      <c r="D95" s="50"/>
      <c r="E95" s="17"/>
    </row>
    <row r="96" spans="1:5" ht="21.75">
      <c r="A96" s="22"/>
      <c r="B96" s="50"/>
      <c r="C96" s="309"/>
      <c r="D96" s="17"/>
      <c r="E96" s="408"/>
    </row>
    <row r="97" spans="1:5" ht="21.75">
      <c r="A97" s="22"/>
      <c r="B97" s="17"/>
      <c r="C97" s="47"/>
      <c r="D97" s="22"/>
      <c r="E97" s="17"/>
    </row>
    <row r="98" spans="1:5" ht="21.75">
      <c r="A98" s="22"/>
      <c r="B98" s="17"/>
      <c r="C98" s="50"/>
      <c r="D98" s="22"/>
      <c r="E98" s="17"/>
    </row>
    <row r="99" spans="1:5" ht="21.75">
      <c r="A99" s="22"/>
      <c r="B99" s="123"/>
      <c r="C99" s="50"/>
      <c r="D99" s="22"/>
      <c r="E99" s="409"/>
    </row>
    <row r="100" spans="1:5" ht="21.75">
      <c r="A100" s="22"/>
      <c r="B100" s="17"/>
      <c r="C100" s="50"/>
      <c r="D100" s="22"/>
      <c r="E100" s="17"/>
    </row>
    <row r="101" spans="1:5" ht="21.75">
      <c r="A101" s="22"/>
      <c r="B101" s="17"/>
      <c r="C101" s="50"/>
      <c r="D101" s="22"/>
      <c r="E101" s="17"/>
    </row>
    <row r="102" spans="1:5" ht="21.75">
      <c r="A102" s="22"/>
      <c r="B102" s="120"/>
      <c r="C102" s="121"/>
      <c r="D102" s="22"/>
      <c r="E102" s="410"/>
    </row>
    <row r="103" spans="1:5" ht="21.75">
      <c r="A103" s="22"/>
      <c r="B103" s="17"/>
      <c r="C103" s="50"/>
      <c r="D103" s="22"/>
      <c r="E103" s="17"/>
    </row>
    <row r="104" spans="1:5" ht="21.75">
      <c r="A104" s="22"/>
      <c r="B104" s="17"/>
      <c r="C104" s="50"/>
      <c r="D104" s="22"/>
      <c r="E104" s="17"/>
    </row>
    <row r="105" spans="1:5" ht="21.75">
      <c r="A105" s="22"/>
      <c r="B105" s="17"/>
      <c r="C105" s="47"/>
      <c r="D105" s="22"/>
      <c r="E105" s="17"/>
    </row>
    <row r="106" spans="1:5" ht="21.75">
      <c r="A106" s="34"/>
      <c r="B106" s="123"/>
      <c r="C106" s="47"/>
      <c r="D106" s="22"/>
      <c r="E106" s="300"/>
    </row>
    <row r="107" spans="1:5" ht="21.75">
      <c r="A107" s="22"/>
      <c r="B107" s="17"/>
      <c r="C107" s="47"/>
      <c r="D107" s="22"/>
      <c r="E107" s="17"/>
    </row>
    <row r="108" spans="1:5" ht="21.75">
      <c r="A108" s="407"/>
      <c r="B108" s="17"/>
      <c r="C108" s="47"/>
      <c r="D108" s="407"/>
      <c r="E108" s="17"/>
    </row>
    <row r="109" spans="1:5" ht="21.75">
      <c r="A109" s="22"/>
      <c r="B109" s="17"/>
      <c r="C109" s="47"/>
      <c r="D109" s="22"/>
      <c r="E109" s="17"/>
    </row>
    <row r="110" spans="1:5" ht="21.75">
      <c r="A110" s="523"/>
      <c r="B110" s="522"/>
      <c r="C110" s="522"/>
      <c r="D110" s="523"/>
      <c r="E110" s="522"/>
    </row>
    <row r="111" spans="1:5" ht="21.75">
      <c r="A111" s="522"/>
      <c r="B111" s="522"/>
      <c r="C111" s="522"/>
      <c r="D111" s="522"/>
      <c r="E111" s="522"/>
    </row>
    <row r="112" spans="1:5" ht="21.75">
      <c r="A112" s="522"/>
      <c r="B112" s="522"/>
      <c r="C112" s="522"/>
      <c r="D112" s="522"/>
      <c r="E112" s="522"/>
    </row>
    <row r="113" spans="1:5" ht="21.75">
      <c r="A113" s="22"/>
      <c r="B113" s="17"/>
      <c r="C113" s="47"/>
      <c r="D113" s="22"/>
      <c r="E113" s="17"/>
    </row>
    <row r="114" spans="1:5" ht="21.75">
      <c r="A114" s="22"/>
      <c r="B114" s="17"/>
      <c r="C114" s="47"/>
      <c r="D114" s="22"/>
      <c r="E114" s="17"/>
    </row>
    <row r="115" spans="1:5" ht="21.75">
      <c r="A115" s="22"/>
      <c r="B115" s="17"/>
      <c r="C115" s="47"/>
      <c r="D115" s="22"/>
      <c r="E115" s="17"/>
    </row>
    <row r="116" spans="1:5" ht="21.75">
      <c r="A116" s="22"/>
      <c r="B116" s="17"/>
      <c r="C116" s="47"/>
      <c r="D116" s="22"/>
      <c r="E116" s="17"/>
    </row>
    <row r="117" spans="1:5" ht="21.75">
      <c r="A117" s="22"/>
      <c r="B117" s="17"/>
      <c r="C117" s="47"/>
      <c r="D117" s="22"/>
      <c r="E117" s="17"/>
    </row>
    <row r="118" spans="1:5" ht="21.75">
      <c r="A118" s="22"/>
      <c r="B118" s="17"/>
      <c r="C118" s="47"/>
      <c r="D118" s="22"/>
      <c r="E118" s="17"/>
    </row>
    <row r="119" spans="1:5" ht="21.75">
      <c r="A119" s="22"/>
      <c r="B119" s="17"/>
      <c r="C119" s="47"/>
      <c r="D119" s="22"/>
      <c r="E119" s="17"/>
    </row>
    <row r="120" spans="1:5" ht="21.75">
      <c r="A120" s="22"/>
      <c r="B120" s="17"/>
      <c r="C120" s="47"/>
      <c r="D120" s="22"/>
      <c r="E120" s="17"/>
    </row>
  </sheetData>
  <mergeCells count="23">
    <mergeCell ref="A29:C29"/>
    <mergeCell ref="D29:E29"/>
    <mergeCell ref="A32:C32"/>
    <mergeCell ref="D32:E32"/>
    <mergeCell ref="A33:C33"/>
    <mergeCell ref="D33:E33"/>
    <mergeCell ref="A69:C69"/>
    <mergeCell ref="D69:E69"/>
    <mergeCell ref="A65:C65"/>
    <mergeCell ref="D65:E65"/>
    <mergeCell ref="A68:C68"/>
    <mergeCell ref="D68:E68"/>
    <mergeCell ref="B62:C62"/>
    <mergeCell ref="A111:C111"/>
    <mergeCell ref="D111:E111"/>
    <mergeCell ref="A112:C112"/>
    <mergeCell ref="D112:E112"/>
    <mergeCell ref="A73:C73"/>
    <mergeCell ref="A74:C74"/>
    <mergeCell ref="D74:E74"/>
    <mergeCell ref="A110:C110"/>
    <mergeCell ref="D110:E110"/>
    <mergeCell ref="D73:E73"/>
  </mergeCells>
  <printOptions/>
  <pageMargins left="0.36" right="0.5511811023622047" top="0.41" bottom="0.1968503937007874" header="0.38" footer="0.26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ง</dc:title>
  <dc:subject/>
  <dc:creator>v-sirick95</dc:creator>
  <cp:keywords/>
  <dc:description/>
  <cp:lastModifiedBy>sc</cp:lastModifiedBy>
  <cp:lastPrinted>2010-07-05T08:49:33Z</cp:lastPrinted>
  <dcterms:created xsi:type="dcterms:W3CDTF">1997-06-13T10:07:54Z</dcterms:created>
  <dcterms:modified xsi:type="dcterms:W3CDTF">2010-07-05T08:51:27Z</dcterms:modified>
  <cp:category/>
  <cp:version/>
  <cp:contentType/>
  <cp:contentStatus/>
</cp:coreProperties>
</file>