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6"/>
  </bookViews>
  <sheets>
    <sheet name="งบทดลอง" sheetId="1" r:id="rId1"/>
    <sheet name="หมายเหตุ 1" sheetId="2" r:id="rId2"/>
    <sheet name="หมายเหตุ 2" sheetId="3" r:id="rId3"/>
    <sheet name="หมายเหตุ 4" sheetId="4" r:id="rId4"/>
    <sheet name="หมายเหตุ6" sheetId="5" r:id="rId5"/>
    <sheet name="รายรับ" sheetId="6" r:id="rId6"/>
    <sheet name="รายจ่าย" sheetId="7" r:id="rId7"/>
    <sheet name="งบกระทบ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<sst xmlns="http://schemas.openxmlformats.org/spreadsheetml/2006/main" count="1135" uniqueCount="246">
  <si>
    <t>องค์การบริหารส่วนตำบลเขาน้อย อำเภอสิชล จังหวัดนครศรีธรรมราช</t>
  </si>
  <si>
    <t>งบทดลอง</t>
  </si>
  <si>
    <t>ชื่อบัญชี</t>
  </si>
  <si>
    <t>รหัส</t>
  </si>
  <si>
    <t>เดบิต</t>
  </si>
  <si>
    <t>เครดิต</t>
  </si>
  <si>
    <t>บัญชี</t>
  </si>
  <si>
    <t>เงินสด</t>
  </si>
  <si>
    <t>010</t>
  </si>
  <si>
    <t>เงินฝากธนาคารกรุงไทย กระแสรายวัน เพื่อการรับเงิน 828-6-00853-7</t>
  </si>
  <si>
    <t>021</t>
  </si>
  <si>
    <t>เงินฝากธนาคารกรุงไทย ออมทรัพย์ 828-0-34727-5</t>
  </si>
  <si>
    <t>022</t>
  </si>
  <si>
    <t>เงินฝากธนาคาร ธกส.     ออมทรัพย์  315-2-36479-9</t>
  </si>
  <si>
    <t>เงินฝากธนาคาร ธกส.     ออมทรัพย์  (บัญชี 2)  315-2-38545-8</t>
  </si>
  <si>
    <t>ลูกหนี้เงินยืมเงินสะสม</t>
  </si>
  <si>
    <t>090</t>
  </si>
  <si>
    <t>รายได้ค้างรับ</t>
  </si>
  <si>
    <t>เงินงบกลาง</t>
  </si>
  <si>
    <t>000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</si>
  <si>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</si>
  <si>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</si>
  <si>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</si>
  <si>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</si>
  <si>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</si>
  <si>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</si>
  <si>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</si>
  <si>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</si>
  <si>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</si>
  <si>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ค่าที่ดินดินและสิ่งก่อสร้าง</t>
  </si>
  <si>
    <t>รายจ่ายอื่น</t>
  </si>
  <si>
    <t>เงินรายรับ (หมายเหตุ 1 )</t>
  </si>
  <si>
    <t>เงินรับฝาก (หมายเหตุ 2)</t>
  </si>
  <si>
    <t>รายจ่ายรอจ่าย (หมายเหตุ  3)</t>
  </si>
  <si>
    <t>รายจ่ายค้างจ่ายระหว่างดำเนินการ  (หมายเหตุ 4)</t>
  </si>
  <si>
    <t>เงินอุดหนุนทั่วไปค้างจ่าย  (หมายเหตุ 5)</t>
  </si>
  <si>
    <t>เงินอุดหนุนทั่วไประบุวัตถุประสงค์  (หมายเหตุ 6)</t>
  </si>
  <si>
    <t>เงินสะสม</t>
  </si>
  <si>
    <t>เงินทุนสำรองเงินสะสม</t>
  </si>
  <si>
    <t>องค์การบริหารส่วนตำบลเขาน้อยอำเภอสิชล  จังหวัดนครศรีธรรมราช</t>
  </si>
  <si>
    <t>รายรับ  (หมายเหตุประกอบงบทดลอง 1)</t>
  </si>
  <si>
    <t>รายการ</t>
  </si>
  <si>
    <t>ยอดยกมา</t>
  </si>
  <si>
    <t>รับเดือนนี้</t>
  </si>
  <si>
    <t>คงเหลือ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</si>
  <si>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</si>
  <si>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</si>
  <si>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</si>
  <si>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</si>
  <si>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</si>
  <si>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</si>
  <si>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ค่าธรรมเนียมอื่น</t>
  </si>
  <si>
    <t>ค่าปรับผู้กระทำผิดกฎหมายจราจรทางบก</t>
  </si>
  <si>
    <t>ค่าปรับการผิดสัญญา</t>
  </si>
  <si>
    <t>ค่าเช่าหรือบริการสถานที่</t>
  </si>
  <si>
    <t>ดอกเบี้ย</t>
  </si>
  <si>
    <t>ค่าขายแบบแปลน</t>
  </si>
  <si>
    <t>รายได้เบ็ดเตล็ดอื่น</t>
  </si>
  <si>
    <t>ภาษีมูลค่าเพิ่มตาม พ.ร.บ. กำหนดแผน</t>
  </si>
  <si>
    <t>ภาษีมูลค่าเพิ่ม 1/9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</si>
  <si>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</si>
  <si>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</si>
  <si>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</si>
  <si>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</si>
  <si>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</si>
  <si>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</si>
  <si>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ค่าธรรมเนียมจาการจดทะเบียนสิทธิและนิติกรรมที่ดิน</t>
  </si>
  <si>
    <t>ภาษีจัดสรรอื่น</t>
  </si>
  <si>
    <t>เงินอุดหนุนทั่วไปสำหรับดำเนินการตามอำนาจหน้าที่</t>
  </si>
  <si>
    <t xml:space="preserve">เงินรับฝาก  </t>
  </si>
  <si>
    <t>รับ</t>
  </si>
  <si>
    <t>จ่าย</t>
  </si>
  <si>
    <t>เงินรับฝาก - ภาษีหัก ณ ที่จ่าย</t>
  </si>
  <si>
    <t>เงินรับฝาก - เงินประกันสัญญา</t>
  </si>
  <si>
    <t>ค่าใช้จ่าย 5%</t>
  </si>
  <si>
    <t>ส่วนลด 6%</t>
  </si>
  <si>
    <t>เงินรับฝากอื่น - ค่าขายแบบแปลน</t>
  </si>
  <si>
    <t>เงินทุนโครงการเศรษฐกิจชุมชน</t>
  </si>
  <si>
    <t xml:space="preserve">รายจ่ายรอจ่าย  </t>
  </si>
  <si>
    <t>เงินอนุมัติ</t>
  </si>
  <si>
    <t>เบิกจ่ายเดือนนี้</t>
  </si>
  <si>
    <t>รวมจ่าย</t>
  </si>
  <si>
    <t>หมวดค่าตอบแทน</t>
  </si>
  <si>
    <t>ค่าตอบแทนอื่นเป็นกรณีพิเศษ ฯ</t>
  </si>
  <si>
    <t>รายจ่ายค้างจ่ายระหว่างดำเนินการ</t>
  </si>
  <si>
    <t>1. อาหารเสริม(นม) โรงเรียนและศูนย์พัฒนาเด็กเล็ก</t>
  </si>
  <si>
    <t>เงินอุดหนุนระบุวัตถุประสงค์ ,เงินอุดหนุนพาะกิจ</t>
  </si>
  <si>
    <t>การรับ</t>
  </si>
  <si>
    <t>การจ่าย</t>
  </si>
  <si>
    <t>เดือนนี้</t>
  </si>
  <si>
    <t>รวม</t>
  </si>
  <si>
    <t>องค์การบริหารส่วนตำบลเขาน้อย</t>
  </si>
  <si>
    <t>รายงาน รับ - จ่าย เงินสด</t>
  </si>
  <si>
    <t>จนถึงปีปัจจุบัน</t>
  </si>
  <si>
    <t>ประมาณการ</t>
  </si>
  <si>
    <t>เกิดขึ้นจริง</t>
  </si>
  <si>
    <t>บาท</t>
  </si>
  <si>
    <t>รายรับ</t>
  </si>
  <si>
    <t>- ภาษีอากร</t>
  </si>
  <si>
    <t>0100</t>
  </si>
  <si>
    <t>- ค่าธรรมเนียม ค่าปรับ และใบอนุญาต</t>
  </si>
  <si>
    <t>0120</t>
  </si>
  <si>
    <t>- รายได้จากทรัพย์สิน</t>
  </si>
  <si>
    <t>0200</t>
  </si>
  <si>
    <t>- รายได้จากการสาธารณูปโภคและการพาณิชย์</t>
  </si>
  <si>
    <t>0250</t>
  </si>
  <si>
    <t>- รายได้เบ็ดเตล็ด</t>
  </si>
  <si>
    <t>0300</t>
  </si>
  <si>
    <t>- ภาษีจัดสรร</t>
  </si>
  <si>
    <t>- เงินอุดหนุน (อบต.)</t>
  </si>
  <si>
    <t>ภาษีหน้าฎีกา</t>
  </si>
  <si>
    <t>ลูกหนี้เงินยืมเงินนอกงบประมาณ</t>
  </si>
  <si>
    <t>ลูกหนี้เงินยืมเงินงบประมาณ</t>
  </si>
  <si>
    <t>รวมรายรับ</t>
  </si>
  <si>
    <t>รายจ่าย</t>
  </si>
  <si>
    <t>- งบกลาง</t>
  </si>
  <si>
    <t>- เงินเดือน</t>
  </si>
  <si>
    <t>- ค่าจ้างประจำ</t>
  </si>
  <si>
    <t>- ค่าจ้างชั่วคราว</t>
  </si>
  <si>
    <t>- ค่าตอบแทน</t>
  </si>
  <si>
    <t>- ค่าใช้สอย</t>
  </si>
  <si>
    <t>- ค่าวัสดุ</t>
  </si>
  <si>
    <t>- ค่าสาธารณูปโภค</t>
  </si>
  <si>
    <t>- ค่าครุภัณฑ์</t>
  </si>
  <si>
    <t>- ค่าที่ดินและสิ่งก่อสร้าง</t>
  </si>
  <si>
    <t>- รายจ่ายอื่น</t>
  </si>
  <si>
    <t>- เงินอุดหนุน</t>
  </si>
  <si>
    <t>รายจ่ายค้างจ่ายระหว่างดำเนินการ (หมายเหตุ4)</t>
  </si>
  <si>
    <t>รายจ่ายรอจ่าย  (หมายเหตุ 3)</t>
  </si>
  <si>
    <t>รวมรายจ่าย</t>
  </si>
  <si>
    <t xml:space="preserve">   รายรับ (ต่ำกว่า)   รายจ่าย</t>
  </si>
  <si>
    <t>ยอดยกไป</t>
  </si>
  <si>
    <t xml:space="preserve">        ลงชื่อ.......................................</t>
  </si>
  <si>
    <t xml:space="preserve">             ลงชื่อ.........................................</t>
  </si>
  <si>
    <t xml:space="preserve">       ลงชื่อ...........................................</t>
  </si>
  <si>
    <t>(นางสาวนัดธิดา  เหลื่อมแก้ว)</t>
  </si>
  <si>
    <t>(นายสุเทพ  สมทรัพย์)</t>
  </si>
  <si>
    <t>(นายวันรัตน์  เกลี้ยงขำ)</t>
  </si>
  <si>
    <t xml:space="preserve"> หัวหน้าส่วนการคลัง</t>
  </si>
  <si>
    <t>ปลัดองค์การบริหารส่วนตำบล</t>
  </si>
  <si>
    <t>นายกองค์การบริหารส่วนตำบลเขาน้อย</t>
  </si>
  <si>
    <t>องค์บริหารส่วนตำบลเขาน้อย</t>
  </si>
  <si>
    <t>ธนาคาร  ธกส. (ออมทรัพย์) สาขาสิชล</t>
  </si>
  <si>
    <t>งบกระทบยอดเงินฝากธนาคาร</t>
  </si>
  <si>
    <t xml:space="preserve">บาท  </t>
  </si>
  <si>
    <t>บวก 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</si>
  <si>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</si>
  <si>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</si>
  <si>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</si>
  <si>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 เช็คจ่ายที่ผู้รับยังไม่นำมาขึ้นเงินกับธนาคาร</t>
  </si>
  <si>
    <t xml:space="preserve">วันที่ </t>
  </si>
  <si>
    <t>เลขที่เช็ค</t>
  </si>
  <si>
    <t>8232823</t>
  </si>
  <si>
    <t>บวก หรือ (หัก) รายการกระทบยอดอื่น ๆ</t>
  </si>
  <si>
    <t>รายละเอียด</t>
  </si>
  <si>
    <t>ผู้จัดทำ</t>
  </si>
  <si>
    <t>ผู้ตรวจสอบ</t>
  </si>
  <si>
    <t xml:space="preserve">             (ลงชื่อ)..........................................</t>
  </si>
  <si>
    <t>(นางสาวธัญรัตน์   นาคสมวงษ์กุล)</t>
  </si>
  <si>
    <t>ตำแหน่ง หัวหน้าส่วนการคลัง</t>
  </si>
  <si>
    <t>ณ วันที่  30 กันยายน  2553  (งบทดลองหลังปิดบัญชี)</t>
  </si>
  <si>
    <t>ณ วันที่  30 กันยายน  2553  (ก่อนปิดบัญชี)</t>
  </si>
  <si>
    <t xml:space="preserve">หมายเหตุ  2  ประกอบงบทดลอง  </t>
  </si>
  <si>
    <t xml:space="preserve">หมายเหตุ  3  ประกอบงบทดลอง  </t>
  </si>
  <si>
    <t xml:space="preserve">หมายเหตุ  4  ประกอบงบทดลอง  </t>
  </si>
  <si>
    <t xml:space="preserve">หมายเหตุ  5  ประกอบงบทดลอง  </t>
  </si>
  <si>
    <t xml:space="preserve">ยอดยกมา </t>
  </si>
  <si>
    <t>1.  ค่าจ้างผู้ดูแลศูนย์ฟื้นฟูคนพิการ</t>
  </si>
  <si>
    <t>2. ค่าจ้างตัดหญ้าไหล่ทาง</t>
  </si>
  <si>
    <t>3. โครงการซ่อมแซมเรือพระ</t>
  </si>
  <si>
    <t>4. โครงการชักพระ - เครื่องเสียง,อาหารเครื่องดื่ม,เต้นท์</t>
  </si>
  <si>
    <t>5. โครงการชักพระ - ซื้อของรางวัล  ,น้ำมันเชื้อเพลิง</t>
  </si>
  <si>
    <t>ค่าที่ดินและสิ่งก่อสร้าง</t>
  </si>
  <si>
    <t>1. โครงการก่อสร้างศูนย์พัฒนาเด็กเล็กบ้านเขาใหญ่</t>
  </si>
  <si>
    <t>2. โครงการก่อสร้างถนน  คสล.สายบ้านนางสุก  หมู่ที่  4</t>
  </si>
  <si>
    <t>3. โครงการก่อสร้างถนน คสล. สายสามแยกบ้านนายด้าว หมู่ที่  3</t>
  </si>
  <si>
    <t>งบกลาง</t>
  </si>
  <si>
    <t>1. โครงการถมหลุมบ่อภายในเขต  อบต.</t>
  </si>
  <si>
    <t>รายจ่ายค้างจ่าย</t>
  </si>
  <si>
    <t>1. โครงการผังเมืองชุมชน</t>
  </si>
  <si>
    <t>เงินอุดหนุนค้างจ่าย</t>
  </si>
  <si>
    <t>หมายเหตุ  6  ประกอบงบทดลอง</t>
  </si>
  <si>
    <t>1. เงินอุดหนุน - สนับสนุนศูนย์พัฒนาเด็กเล็ก</t>
  </si>
  <si>
    <t>2.เงินอุดหนุน - โครงการก่อสร้างลานกีฬาเอนกประสงค์ ม.2</t>
  </si>
  <si>
    <t>3.เงินอุดหนุน - โครงการก่อสร้างถนน คสล. ม.1</t>
  </si>
  <si>
    <t>4.เงินอุดหนุน - ศูนย์พัฒนาครอบครัวในชุมชน</t>
  </si>
  <si>
    <t>ตำแหน่ง นักวิชาการเงินและบัญชี</t>
  </si>
  <si>
    <t xml:space="preserve">ณ วันที่  31 ตุลาคม  2553  </t>
  </si>
  <si>
    <t>รายจ่ายค้างจ่าย  (หมายเหตุ  5)</t>
  </si>
  <si>
    <t>เงินอุดหนุนทั่วไปค้างจ่าย  (หมายเหตุ 6)</t>
  </si>
  <si>
    <t>เงินอุดหนุนทั่วไประบุวัตถุประสงค์  (หมายเหตุ 7)</t>
  </si>
  <si>
    <t>ประจำเดือน ตุลาคม  2553</t>
  </si>
  <si>
    <t>อำเภอสิชล  จังหวัดนครศรีธรรมราช  ปีงบประมาณ  2554</t>
  </si>
  <si>
    <t>เงินอุดหนุนทั่วไประบุวัตถุประสงค์ (หมายเหตุ 7)</t>
  </si>
  <si>
    <t>อุดหนุนค้างจ่าย (หมายเหตุ6)</t>
  </si>
  <si>
    <t xml:space="preserve">ณ วันที่  30  พฤศจิกายน  2553  </t>
  </si>
  <si>
    <t>ประจำเดือน พฤศจิกายน  2553</t>
  </si>
  <si>
    <t>หมายเหตุประกอบงบทดลอง  7</t>
  </si>
  <si>
    <t>1. เงินอุดหนุนระบุวัตถุประสงค์จากกรมส่งเสริม ฯ</t>
  </si>
  <si>
    <t>1.1 เบี้ยยังชีพผู้สูงอายุ</t>
  </si>
  <si>
    <t>1.2 เบี้ยยังชีพคนพิการ</t>
  </si>
  <si>
    <t>2. เงินอุดหนุนระบุวัตถุประสงค์ด้านการศึกษา</t>
  </si>
  <si>
    <t>เงินอุดหนุนทั่วไป  (หมายเหตุ 7)</t>
  </si>
  <si>
    <t xml:space="preserve">ณ วันที่  31  ธันวาคม  2553  </t>
  </si>
  <si>
    <t>ประจำเดือน ธันวาคม  2553</t>
  </si>
  <si>
    <t>3. เงินอุดหนุนระบุวัตถุประสงค์อื่น</t>
  </si>
  <si>
    <t>2.1 เงินสนับสนุนทุนการศึกษา  ฯ</t>
  </si>
  <si>
    <t>3.1 ศูนย์พัฒนาครอบครัวในชุมชน</t>
  </si>
  <si>
    <t>2.2 เงินสนับสนุนศูนย์พัฒนาเด็กเล็ก</t>
  </si>
  <si>
    <t xml:space="preserve">ณ วันที่  31  มกราคม  2554  </t>
  </si>
  <si>
    <t>ประจำเดือน มกราคม  2554</t>
  </si>
  <si>
    <t xml:space="preserve">ณ วันที่  28  กุมภาพันธ์  2554  </t>
  </si>
  <si>
    <t>ประจำเดือน กุมภาพันธ์  2554</t>
  </si>
  <si>
    <t xml:space="preserve">                    (ลงชื่อ).................................</t>
  </si>
  <si>
    <t xml:space="preserve">ณ วันที่  31  มีนาคม  2554  </t>
  </si>
  <si>
    <t>ประจำเดือน มีนาคม  2554</t>
  </si>
  <si>
    <t>2.3 เงินสนับสนุนค่าวัสดุการศึกษา</t>
  </si>
  <si>
    <t>1.3 โครงการก่อสร้างศูนย์พัฒนาเด็กเล็ก ศพด. บ้านเขาใหญ่</t>
  </si>
  <si>
    <t>วันที่ 31  มีนาคม  2554</t>
  </si>
  <si>
    <t>*****</t>
  </si>
  <si>
    <t xml:space="preserve"> </t>
  </si>
  <si>
    <t xml:space="preserve">ณ วันที่  ๓๐  เมษายน  ๒๕๕๔  </t>
  </si>
  <si>
    <t>ประจำเดือน เมษายน  ๒๕๕๔</t>
  </si>
  <si>
    <t>เลขที่บัญชี  ๓๑๕-๒-๓๖๔๗๙-๙</t>
  </si>
  <si>
    <t>รายรับ  (หมายเหตุประกอบงบทดลอง ๑)</t>
  </si>
  <si>
    <t>8237617</t>
  </si>
  <si>
    <t>ต.ค.</t>
  </si>
  <si>
    <t xml:space="preserve">ณ วันที่  ๓๑  พฤษภาคม  ๒๕๕๔  </t>
  </si>
  <si>
    <t>ประจำเดือน พฤษภาคม  ๒๕๕๔</t>
  </si>
  <si>
    <t>ค่าธรรมเนียมจดทะเบียนพาณิชย์</t>
  </si>
  <si>
    <t xml:space="preserve">ณ วันที่  ๓๐  มิถุนายน  ๒๕๕๔  </t>
  </si>
  <si>
    <t>ประจำเดือน มิถุนายน  ๒๕๕๔</t>
  </si>
  <si>
    <t xml:space="preserve">ณ วันที่  ๓๑  กรกฎาคม  ๒๕๕๔  </t>
  </si>
  <si>
    <t>ประจำเดือน กรกฎาคม  ๒๕๕๔</t>
  </si>
  <si>
    <t xml:space="preserve">ณ วันที่  ๓๑  สิงหาคม  ๒๕๕๔  </t>
  </si>
  <si>
    <t>ประจำเดือน สิงหาคม  ๒๕๕๔</t>
  </si>
  <si>
    <t>รายได้ค้างรับ  (ลูกหนี้ภาษีบำรุงท้องที่)</t>
  </si>
  <si>
    <t>ค่าธรรมเนียมติดตั้งแผ่นประกาศฯ</t>
  </si>
  <si>
    <t>1246080</t>
  </si>
  <si>
    <t>1246083</t>
  </si>
  <si>
    <t xml:space="preserve">ณ วันที่  ๓๐  กันยายน  ๒๕๕๔  </t>
  </si>
  <si>
    <t>ประจำเดือน กันยายน  ๒๕๕๔</t>
  </si>
  <si>
    <t xml:space="preserve">ยอดคงเหลือตามรายงานธนาคาร ณ วันที่  ๓๐  กันยายน  ๒๕๕๔ </t>
  </si>
  <si>
    <t>ยอดคงเหลือตามบัญชี ณ วันที่   ๓๐  กันยายน  ๒๕๕๔</t>
  </si>
  <si>
    <t>วันที่ ๓๐  กันยายน ๒๕๕๔</t>
  </si>
  <si>
    <t>ประจำเดือน กันยายน  2554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</si>
</sst>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[$-F800]dddd\,\ mmmm\ dd\,\ yyyy"/>
    <numFmt numFmtId="189" formatCode="_-* #,##0_-;\-* #,##0_-;_-* &quot;-&quot;??_-;_-@_-"/>
    <numFmt numFmtId="190" formatCode="_-* #,##0.000_-;\-* #,##0.000_-;_-* &quot;-&quot;??_-;_-@_-"/>
    <numFmt numFmtId="191" formatCode="[$-41E]d\ mmmm\ yyyy"/>
  </numFmts>
  <fonts count="51">
    <font>
      <sz val="10"/>
      <name val="Arial"/>
      <family val="0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  <font>
      <b/>
      <sz val="16"/>
      <name val="Browallia New"/>
      <family val="2"/>
    </font>
    <font>
      <b/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Browallia New"/>
      <family val="2"/>
    </font>
    <font>
      <sz val="14"/>
      <color indexed="8"/>
      <name val="Cordia New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u val="doubleAccounting"/>
      <sz val="16"/>
      <color indexed="8"/>
      <name val="Angsana New"/>
      <family val="1"/>
    </font>
    <font>
      <b/>
      <u val="singleAccounting"/>
      <sz val="16"/>
      <color indexed="8"/>
      <name val="Angsana New"/>
      <family val="1"/>
    </font>
    <font>
      <sz val="8"/>
      <name val="Arial"/>
      <family val="0"/>
    </font>
    <font>
      <b/>
      <u val="doubleAccounting"/>
      <sz val="14"/>
      <color indexed="8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u val="single"/>
      <sz val="16"/>
      <name val="TH SarabunPSK"/>
      <family val="2"/>
    </font>
    <font>
      <b/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doubleAccounting"/>
      <sz val="12"/>
      <color indexed="8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36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36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43" fontId="2" fillId="0" borderId="0" xfId="36" applyFont="1" applyBorder="1" applyAlignment="1">
      <alignment horizontal="center"/>
    </xf>
    <xf numFmtId="43" fontId="2" fillId="0" borderId="14" xfId="36" applyFont="1" applyBorder="1" applyAlignment="1">
      <alignment horizontal="center"/>
    </xf>
    <xf numFmtId="43" fontId="2" fillId="0" borderId="0" xfId="36" applyFont="1" applyAlignment="1" quotePrefix="1">
      <alignment horizontal="center"/>
    </xf>
    <xf numFmtId="43" fontId="2" fillId="0" borderId="14" xfId="36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43" fontId="1" fillId="0" borderId="15" xfId="36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4" xfId="36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87" fontId="6" fillId="0" borderId="16" xfId="0" applyNumberFormat="1" applyFont="1" applyBorder="1" applyAlignment="1">
      <alignment/>
    </xf>
    <xf numFmtId="43" fontId="6" fillId="0" borderId="16" xfId="36" applyFont="1" applyBorder="1" applyAlignment="1">
      <alignment/>
    </xf>
    <xf numFmtId="0" fontId="6" fillId="0" borderId="0" xfId="0" applyFont="1" applyAlignment="1">
      <alignment/>
    </xf>
    <xf numFmtId="43" fontId="5" fillId="24" borderId="15" xfId="36" applyFont="1" applyFill="1" applyBorder="1" applyAlignment="1">
      <alignment/>
    </xf>
    <xf numFmtId="43" fontId="5" fillId="24" borderId="22" xfId="36" applyFont="1" applyFill="1" applyBorder="1" applyAlignment="1">
      <alignment/>
    </xf>
    <xf numFmtId="43" fontId="6" fillId="0" borderId="0" xfId="36" applyFont="1" applyAlignment="1">
      <alignment/>
    </xf>
    <xf numFmtId="0" fontId="8" fillId="0" borderId="0" xfId="0" applyFont="1" applyAlignment="1">
      <alignment/>
    </xf>
    <xf numFmtId="43" fontId="8" fillId="0" borderId="0" xfId="36" applyFont="1" applyAlignment="1">
      <alignment/>
    </xf>
    <xf numFmtId="43" fontId="9" fillId="0" borderId="0" xfId="36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0" xfId="36" applyFont="1" applyAlignment="1">
      <alignment/>
    </xf>
    <xf numFmtId="0" fontId="10" fillId="0" borderId="0" xfId="0" applyFont="1" applyAlignment="1">
      <alignment horizontal="center"/>
    </xf>
    <xf numFmtId="43" fontId="11" fillId="0" borderId="0" xfId="36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1" xfId="0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3" fontId="11" fillId="0" borderId="14" xfId="36" applyFont="1" applyBorder="1" applyAlignment="1">
      <alignment/>
    </xf>
    <xf numFmtId="43" fontId="11" fillId="0" borderId="14" xfId="36" applyFont="1" applyBorder="1" applyAlignment="1" quotePrefix="1">
      <alignment horizontal="center"/>
    </xf>
    <xf numFmtId="43" fontId="10" fillId="0" borderId="15" xfId="36" applyFont="1" applyBorder="1" applyAlignment="1">
      <alignment/>
    </xf>
    <xf numFmtId="43" fontId="11" fillId="0" borderId="0" xfId="36" applyFont="1" applyBorder="1" applyAlignment="1">
      <alignment/>
    </xf>
    <xf numFmtId="43" fontId="10" fillId="0" borderId="16" xfId="36" applyFont="1" applyBorder="1" applyAlignment="1">
      <alignment/>
    </xf>
    <xf numFmtId="43" fontId="12" fillId="0" borderId="16" xfId="36" applyFont="1" applyBorder="1" applyAlignment="1">
      <alignment/>
    </xf>
    <xf numFmtId="43" fontId="12" fillId="0" borderId="15" xfId="36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3" fontId="11" fillId="0" borderId="11" xfId="36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7" xfId="0" applyFont="1" applyBorder="1" applyAlignment="1" quotePrefix="1">
      <alignment/>
    </xf>
    <xf numFmtId="0" fontId="11" fillId="0" borderId="18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7" xfId="0" applyFont="1" applyBorder="1" applyAlignment="1">
      <alignment/>
    </xf>
    <xf numFmtId="43" fontId="11" fillId="0" borderId="17" xfId="0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43" fontId="13" fillId="0" borderId="16" xfId="36" applyFont="1" applyBorder="1" applyAlignment="1">
      <alignment/>
    </xf>
    <xf numFmtId="43" fontId="12" fillId="0" borderId="0" xfId="36" applyFont="1" applyAlignment="1">
      <alignment/>
    </xf>
    <xf numFmtId="43" fontId="11" fillId="0" borderId="0" xfId="36" applyFont="1" applyAlignment="1" quotePrefix="1">
      <alignment horizontal="right"/>
    </xf>
    <xf numFmtId="43" fontId="11" fillId="0" borderId="14" xfId="36" applyFont="1" applyBorder="1" applyAlignment="1" quotePrefix="1">
      <alignment horizontal="right"/>
    </xf>
    <xf numFmtId="43" fontId="10" fillId="0" borderId="17" xfId="0" applyNumberFormat="1" applyFont="1" applyBorder="1" applyAlignment="1">
      <alignment/>
    </xf>
    <xf numFmtId="0" fontId="11" fillId="0" borderId="0" xfId="0" applyFont="1" applyAlignment="1">
      <alignment horizontal="left"/>
    </xf>
    <xf numFmtId="4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8" xfId="0" applyFont="1" applyBorder="1" applyAlignment="1" quotePrefix="1">
      <alignment horizontal="left"/>
    </xf>
    <xf numFmtId="43" fontId="15" fillId="0" borderId="15" xfId="36" applyFont="1" applyBorder="1" applyAlignment="1">
      <alignment/>
    </xf>
    <xf numFmtId="43" fontId="5" fillId="24" borderId="16" xfId="36" applyFont="1" applyFill="1" applyBorder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36" applyFont="1" applyAlignment="1">
      <alignment/>
    </xf>
    <xf numFmtId="0" fontId="6" fillId="0" borderId="0" xfId="0" applyFont="1" applyFill="1" applyBorder="1" applyAlignment="1">
      <alignment/>
    </xf>
    <xf numFmtId="43" fontId="11" fillId="0" borderId="0" xfId="36" applyFont="1" applyAlignment="1" quotePrefix="1">
      <alignment horizontal="center"/>
    </xf>
    <xf numFmtId="0" fontId="11" fillId="0" borderId="14" xfId="0" applyFont="1" applyBorder="1" applyAlignment="1" quotePrefix="1">
      <alignment horizontal="center"/>
    </xf>
    <xf numFmtId="0" fontId="11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43" fontId="7" fillId="0" borderId="0" xfId="36" applyFont="1" applyFill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36" applyFont="1" applyBorder="1" applyAlignment="1">
      <alignment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3" fontId="35" fillId="0" borderId="11" xfId="36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43" fontId="35" fillId="0" borderId="13" xfId="36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14" xfId="0" applyFont="1" applyBorder="1" applyAlignment="1" quotePrefix="1">
      <alignment horizontal="center"/>
    </xf>
    <xf numFmtId="43" fontId="35" fillId="0" borderId="0" xfId="36" applyFont="1" applyAlignment="1" quotePrefix="1">
      <alignment horizontal="center"/>
    </xf>
    <xf numFmtId="43" fontId="35" fillId="0" borderId="14" xfId="36" applyFont="1" applyBorder="1" applyAlignment="1">
      <alignment/>
    </xf>
    <xf numFmtId="43" fontId="35" fillId="0" borderId="0" xfId="36" applyFont="1" applyAlignment="1">
      <alignment/>
    </xf>
    <xf numFmtId="0" fontId="35" fillId="0" borderId="14" xfId="0" applyFont="1" applyBorder="1" applyAlignment="1">
      <alignment horizontal="center"/>
    </xf>
    <xf numFmtId="0" fontId="35" fillId="0" borderId="0" xfId="0" applyFont="1" applyAlignment="1">
      <alignment horizontal="left"/>
    </xf>
    <xf numFmtId="43" fontId="34" fillId="0" borderId="15" xfId="36" applyFont="1" applyBorder="1" applyAlignment="1">
      <alignment/>
    </xf>
    <xf numFmtId="0" fontId="36" fillId="0" borderId="0" xfId="0" applyFont="1" applyAlignment="1">
      <alignment/>
    </xf>
    <xf numFmtId="0" fontId="37" fillId="0" borderId="2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8" xfId="0" applyFont="1" applyBorder="1" applyAlignment="1">
      <alignment/>
    </xf>
    <xf numFmtId="43" fontId="39" fillId="0" borderId="14" xfId="36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187" fontId="39" fillId="0" borderId="16" xfId="0" applyNumberFormat="1" applyFont="1" applyBorder="1" applyAlignment="1">
      <alignment/>
    </xf>
    <xf numFmtId="43" fontId="39" fillId="0" borderId="16" xfId="36" applyFont="1" applyBorder="1" applyAlignment="1">
      <alignment/>
    </xf>
    <xf numFmtId="0" fontId="39" fillId="0" borderId="0" xfId="0" applyFont="1" applyAlignment="1">
      <alignment/>
    </xf>
    <xf numFmtId="43" fontId="37" fillId="24" borderId="16" xfId="36" applyFont="1" applyFill="1" applyBorder="1" applyAlignment="1">
      <alignment/>
    </xf>
    <xf numFmtId="43" fontId="37" fillId="24" borderId="15" xfId="36" applyFont="1" applyFill="1" applyBorder="1" applyAlignment="1">
      <alignment/>
    </xf>
    <xf numFmtId="43" fontId="37" fillId="24" borderId="22" xfId="36" applyFont="1" applyFill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43" fontId="40" fillId="0" borderId="14" xfId="36" applyFont="1" applyBorder="1" applyAlignment="1">
      <alignment/>
    </xf>
    <xf numFmtId="43" fontId="40" fillId="0" borderId="14" xfId="36" applyFont="1" applyBorder="1" applyAlignment="1">
      <alignment horizontal="center"/>
    </xf>
    <xf numFmtId="43" fontId="40" fillId="0" borderId="0" xfId="36" applyFont="1" applyBorder="1" applyAlignment="1" quotePrefix="1">
      <alignment horizontal="center"/>
    </xf>
    <xf numFmtId="0" fontId="40" fillId="0" borderId="17" xfId="0" applyFont="1" applyBorder="1" applyAlignment="1">
      <alignment/>
    </xf>
    <xf numFmtId="0" fontId="40" fillId="0" borderId="0" xfId="0" applyFont="1" applyBorder="1" applyAlignment="1">
      <alignment/>
    </xf>
    <xf numFmtId="43" fontId="40" fillId="0" borderId="18" xfId="36" applyFont="1" applyBorder="1" applyAlignment="1">
      <alignment horizontal="right"/>
    </xf>
    <xf numFmtId="43" fontId="40" fillId="0" borderId="14" xfId="36" applyFont="1" applyBorder="1" applyAlignment="1">
      <alignment horizontal="right"/>
    </xf>
    <xf numFmtId="43" fontId="40" fillId="0" borderId="0" xfId="36" applyFont="1" applyBorder="1" applyAlignment="1">
      <alignment horizontal="right"/>
    </xf>
    <xf numFmtId="43" fontId="40" fillId="0" borderId="18" xfId="36" applyFont="1" applyBorder="1" applyAlignment="1">
      <alignment/>
    </xf>
    <xf numFmtId="43" fontId="40" fillId="0" borderId="0" xfId="36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24" xfId="0" applyFont="1" applyBorder="1" applyAlignment="1">
      <alignment/>
    </xf>
    <xf numFmtId="43" fontId="40" fillId="0" borderId="26" xfId="36" applyFont="1" applyBorder="1" applyAlignment="1">
      <alignment/>
    </xf>
    <xf numFmtId="43" fontId="40" fillId="0" borderId="13" xfId="36" applyFont="1" applyBorder="1" applyAlignment="1">
      <alignment/>
    </xf>
    <xf numFmtId="43" fontId="40" fillId="0" borderId="24" xfId="36" applyFont="1" applyBorder="1" applyAlignment="1">
      <alignment/>
    </xf>
    <xf numFmtId="43" fontId="40" fillId="0" borderId="27" xfId="36" applyFont="1" applyBorder="1" applyAlignment="1">
      <alignment/>
    </xf>
    <xf numFmtId="43" fontId="40" fillId="0" borderId="15" xfId="36" applyFont="1" applyBorder="1" applyAlignment="1">
      <alignment/>
    </xf>
    <xf numFmtId="43" fontId="40" fillId="0" borderId="28" xfId="36" applyFont="1" applyBorder="1" applyAlignment="1">
      <alignment/>
    </xf>
    <xf numFmtId="43" fontId="40" fillId="0" borderId="29" xfId="36" applyFont="1" applyBorder="1" applyAlignment="1">
      <alignment/>
    </xf>
    <xf numFmtId="43" fontId="40" fillId="0" borderId="0" xfId="36" applyFont="1" applyFill="1" applyBorder="1" applyAlignment="1">
      <alignment/>
    </xf>
    <xf numFmtId="0" fontId="37" fillId="0" borderId="0" xfId="0" applyFont="1" applyBorder="1" applyAlignment="1">
      <alignment/>
    </xf>
    <xf numFmtId="43" fontId="3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/>
    </xf>
    <xf numFmtId="43" fontId="39" fillId="0" borderId="0" xfId="36" applyFont="1" applyAlignment="1">
      <alignment/>
    </xf>
    <xf numFmtId="0" fontId="39" fillId="0" borderId="14" xfId="0" applyFont="1" applyBorder="1" applyAlignment="1">
      <alignment/>
    </xf>
    <xf numFmtId="187" fontId="39" fillId="0" borderId="14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6" xfId="0" applyFont="1" applyBorder="1" applyAlignment="1">
      <alignment/>
    </xf>
    <xf numFmtId="43" fontId="37" fillId="0" borderId="15" xfId="36" applyFont="1" applyBorder="1" applyAlignment="1">
      <alignment/>
    </xf>
    <xf numFmtId="0" fontId="38" fillId="0" borderId="2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43" fontId="40" fillId="0" borderId="16" xfId="36" applyFont="1" applyBorder="1" applyAlignment="1">
      <alignment/>
    </xf>
    <xf numFmtId="43" fontId="40" fillId="0" borderId="21" xfId="36" applyFont="1" applyBorder="1" applyAlignment="1">
      <alignment/>
    </xf>
    <xf numFmtId="43" fontId="40" fillId="0" borderId="11" xfId="36" applyFont="1" applyBorder="1" applyAlignment="1">
      <alignment/>
    </xf>
    <xf numFmtId="43" fontId="40" fillId="0" borderId="23" xfId="36" applyFont="1" applyBorder="1" applyAlignment="1">
      <alignment/>
    </xf>
    <xf numFmtId="43" fontId="40" fillId="0" borderId="25" xfId="36" applyFont="1" applyBorder="1" applyAlignment="1">
      <alignment/>
    </xf>
    <xf numFmtId="43" fontId="40" fillId="0" borderId="20" xfId="36" applyFont="1" applyBorder="1" applyAlignment="1">
      <alignment/>
    </xf>
    <xf numFmtId="0" fontId="40" fillId="0" borderId="0" xfId="0" applyFont="1" applyAlignment="1">
      <alignment/>
    </xf>
    <xf numFmtId="43" fontId="38" fillId="0" borderId="29" xfId="36" applyFont="1" applyBorder="1" applyAlignment="1">
      <alignment/>
    </xf>
    <xf numFmtId="43" fontId="38" fillId="0" borderId="28" xfId="36" applyFont="1" applyBorder="1" applyAlignment="1">
      <alignment/>
    </xf>
    <xf numFmtId="43" fontId="38" fillId="0" borderId="15" xfId="36" applyFont="1" applyBorder="1" applyAlignment="1">
      <alignment/>
    </xf>
    <xf numFmtId="43" fontId="38" fillId="0" borderId="22" xfId="36" applyFont="1" applyBorder="1" applyAlignment="1">
      <alignment/>
    </xf>
    <xf numFmtId="0" fontId="40" fillId="0" borderId="18" xfId="0" applyFont="1" applyBorder="1" applyAlignment="1">
      <alignment/>
    </xf>
    <xf numFmtId="43" fontId="40" fillId="0" borderId="0" xfId="36" applyFont="1" applyAlignment="1">
      <alignment/>
    </xf>
    <xf numFmtId="43" fontId="38" fillId="0" borderId="27" xfId="0" applyNumberFormat="1" applyFont="1" applyBorder="1" applyAlignment="1">
      <alignment/>
    </xf>
    <xf numFmtId="43" fontId="38" fillId="0" borderId="15" xfId="0" applyNumberFormat="1" applyFont="1" applyBorder="1" applyAlignment="1">
      <alignment/>
    </xf>
    <xf numFmtId="0" fontId="40" fillId="0" borderId="26" xfId="0" applyFont="1" applyBorder="1" applyAlignment="1">
      <alignment/>
    </xf>
    <xf numFmtId="43" fontId="40" fillId="0" borderId="19" xfId="36" applyFont="1" applyBorder="1" applyAlignment="1">
      <alignment/>
    </xf>
    <xf numFmtId="0" fontId="42" fillId="0" borderId="19" xfId="0" applyFont="1" applyBorder="1" applyAlignment="1">
      <alignment/>
    </xf>
    <xf numFmtId="43" fontId="38" fillId="0" borderId="30" xfId="36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24" xfId="0" applyFont="1" applyBorder="1" applyAlignment="1">
      <alignment/>
    </xf>
    <xf numFmtId="43" fontId="34" fillId="0" borderId="0" xfId="36" applyFont="1" applyAlignment="1">
      <alignment/>
    </xf>
    <xf numFmtId="0" fontId="34" fillId="0" borderId="0" xfId="0" applyFont="1" applyAlignment="1">
      <alignment/>
    </xf>
    <xf numFmtId="43" fontId="34" fillId="0" borderId="0" xfId="36" applyFont="1" applyAlignment="1" quotePrefix="1">
      <alignment horizontal="left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1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3" fontId="35" fillId="0" borderId="14" xfId="36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43" fontId="34" fillId="0" borderId="17" xfId="36" applyFont="1" applyBorder="1" applyAlignment="1">
      <alignment/>
    </xf>
    <xf numFmtId="43" fontId="43" fillId="0" borderId="11" xfId="36" applyFont="1" applyBorder="1" applyAlignment="1">
      <alignment/>
    </xf>
    <xf numFmtId="0" fontId="34" fillId="0" borderId="14" xfId="0" applyFont="1" applyBorder="1" applyAlignment="1">
      <alignment horizontal="center"/>
    </xf>
    <xf numFmtId="43" fontId="43" fillId="0" borderId="14" xfId="36" applyFont="1" applyBorder="1" applyAlignment="1">
      <alignment/>
    </xf>
    <xf numFmtId="43" fontId="34" fillId="0" borderId="14" xfId="36" applyFont="1" applyBorder="1" applyAlignment="1">
      <alignment/>
    </xf>
    <xf numFmtId="0" fontId="44" fillId="0" borderId="0" xfId="0" applyFont="1" applyAlignment="1">
      <alignment/>
    </xf>
    <xf numFmtId="43" fontId="35" fillId="0" borderId="17" xfId="36" applyFont="1" applyBorder="1" applyAlignment="1">
      <alignment/>
    </xf>
    <xf numFmtId="0" fontId="35" fillId="0" borderId="0" xfId="0" applyFont="1" applyAlignment="1" quotePrefix="1">
      <alignment/>
    </xf>
    <xf numFmtId="0" fontId="45" fillId="0" borderId="0" xfId="0" applyFont="1" applyAlignment="1" quotePrefix="1">
      <alignment/>
    </xf>
    <xf numFmtId="43" fontId="45" fillId="0" borderId="14" xfId="36" applyFont="1" applyBorder="1" applyAlignment="1">
      <alignment/>
    </xf>
    <xf numFmtId="43" fontId="35" fillId="0" borderId="14" xfId="36" applyFont="1" applyBorder="1" applyAlignment="1" quotePrefix="1">
      <alignment horizontal="center"/>
    </xf>
    <xf numFmtId="43" fontId="35" fillId="0" borderId="13" xfId="36" applyFont="1" applyBorder="1" applyAlignment="1" quotePrefix="1">
      <alignment horizontal="center"/>
    </xf>
    <xf numFmtId="43" fontId="34" fillId="0" borderId="10" xfId="36" applyFont="1" applyBorder="1" applyAlignment="1">
      <alignment/>
    </xf>
    <xf numFmtId="43" fontId="43" fillId="0" borderId="15" xfId="36" applyFont="1" applyBorder="1" applyAlignment="1">
      <alignment/>
    </xf>
    <xf numFmtId="43" fontId="34" fillId="0" borderId="0" xfId="36" applyFont="1" applyBorder="1" applyAlignment="1">
      <alignment/>
    </xf>
    <xf numFmtId="43" fontId="35" fillId="0" borderId="0" xfId="36" applyFont="1" applyBorder="1" applyAlignment="1">
      <alignment/>
    </xf>
    <xf numFmtId="43" fontId="43" fillId="0" borderId="16" xfId="36" applyFont="1" applyBorder="1" applyAlignment="1">
      <alignment/>
    </xf>
    <xf numFmtId="43" fontId="34" fillId="0" borderId="16" xfId="36" applyFont="1" applyBorder="1" applyAlignment="1">
      <alignment/>
    </xf>
    <xf numFmtId="0" fontId="34" fillId="0" borderId="13" xfId="0" applyFont="1" applyBorder="1" applyAlignment="1">
      <alignment horizontal="center"/>
    </xf>
    <xf numFmtId="43" fontId="46" fillId="0" borderId="15" xfId="36" applyFont="1" applyBorder="1" applyAlignment="1">
      <alignment/>
    </xf>
    <xf numFmtId="43" fontId="45" fillId="0" borderId="0" xfId="36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3" fontId="40" fillId="0" borderId="17" xfId="36" applyFont="1" applyFill="1" applyBorder="1" applyAlignment="1">
      <alignment/>
    </xf>
    <xf numFmtId="0" fontId="37" fillId="0" borderId="10" xfId="0" applyFont="1" applyBorder="1" applyAlignment="1">
      <alignment/>
    </xf>
    <xf numFmtId="43" fontId="37" fillId="0" borderId="23" xfId="36" applyFont="1" applyBorder="1" applyAlignment="1">
      <alignment/>
    </xf>
    <xf numFmtId="43" fontId="37" fillId="0" borderId="25" xfId="36" applyFont="1" applyBorder="1" applyAlignment="1">
      <alignment/>
    </xf>
    <xf numFmtId="43" fontId="37" fillId="0" borderId="25" xfId="36" applyFont="1" applyBorder="1" applyAlignment="1">
      <alignment/>
    </xf>
    <xf numFmtId="0" fontId="37" fillId="0" borderId="12" xfId="0" applyFont="1" applyBorder="1" applyAlignment="1">
      <alignment/>
    </xf>
    <xf numFmtId="43" fontId="37" fillId="0" borderId="24" xfId="36" applyFont="1" applyBorder="1" applyAlignment="1">
      <alignment/>
    </xf>
    <xf numFmtId="43" fontId="37" fillId="0" borderId="26" xfId="36" applyFont="1" applyBorder="1" applyAlignment="1">
      <alignment/>
    </xf>
    <xf numFmtId="43" fontId="37" fillId="0" borderId="26" xfId="36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23" xfId="36" applyFont="1" applyBorder="1" applyAlignment="1">
      <alignment/>
    </xf>
    <xf numFmtId="43" fontId="39" fillId="0" borderId="23" xfId="36" applyFont="1" applyBorder="1" applyAlignment="1">
      <alignment/>
    </xf>
    <xf numFmtId="0" fontId="39" fillId="0" borderId="25" xfId="0" applyFont="1" applyBorder="1" applyAlignment="1">
      <alignment/>
    </xf>
    <xf numFmtId="43" fontId="37" fillId="0" borderId="18" xfId="36" applyFont="1" applyBorder="1" applyAlignment="1">
      <alignment horizontal="center"/>
    </xf>
    <xf numFmtId="43" fontId="39" fillId="0" borderId="0" xfId="36" applyFont="1" applyBorder="1" applyAlignment="1">
      <alignment/>
    </xf>
    <xf numFmtId="43" fontId="39" fillId="0" borderId="0" xfId="36" applyFont="1" applyBorder="1" applyAlignment="1">
      <alignment/>
    </xf>
    <xf numFmtId="43" fontId="39" fillId="0" borderId="18" xfId="36" applyFont="1" applyBorder="1" applyAlignment="1">
      <alignment/>
    </xf>
    <xf numFmtId="0" fontId="37" fillId="0" borderId="17" xfId="0" applyFont="1" applyBorder="1" applyAlignment="1" quotePrefix="1">
      <alignment horizontal="left"/>
    </xf>
    <xf numFmtId="43" fontId="37" fillId="0" borderId="0" xfId="36" applyFont="1" applyBorder="1" applyAlignment="1">
      <alignment/>
    </xf>
    <xf numFmtId="43" fontId="37" fillId="0" borderId="0" xfId="36" applyFont="1" applyBorder="1" applyAlignment="1">
      <alignment horizontal="center"/>
    </xf>
    <xf numFmtId="0" fontId="37" fillId="0" borderId="18" xfId="0" applyFont="1" applyBorder="1" applyAlignment="1">
      <alignment/>
    </xf>
    <xf numFmtId="43" fontId="37" fillId="0" borderId="18" xfId="36" applyFont="1" applyBorder="1" applyAlignment="1">
      <alignment/>
    </xf>
    <xf numFmtId="0" fontId="47" fillId="0" borderId="17" xfId="0" applyFont="1" applyBorder="1" applyAlignment="1">
      <alignment horizontal="center"/>
    </xf>
    <xf numFmtId="43" fontId="47" fillId="0" borderId="0" xfId="36" applyFont="1" applyBorder="1" applyAlignment="1">
      <alignment horizontal="center"/>
    </xf>
    <xf numFmtId="43" fontId="47" fillId="0" borderId="0" xfId="36" applyFont="1" applyBorder="1" applyAlignment="1">
      <alignment/>
    </xf>
    <xf numFmtId="0" fontId="47" fillId="0" borderId="18" xfId="0" applyFont="1" applyBorder="1" applyAlignment="1">
      <alignment horizontal="center"/>
    </xf>
    <xf numFmtId="43" fontId="47" fillId="0" borderId="18" xfId="36" applyFont="1" applyBorder="1" applyAlignment="1">
      <alignment horizontal="center"/>
    </xf>
    <xf numFmtId="43" fontId="39" fillId="0" borderId="0" xfId="36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43" fontId="39" fillId="0" borderId="18" xfId="36" applyFont="1" applyBorder="1" applyAlignment="1">
      <alignment horizontal="center"/>
    </xf>
    <xf numFmtId="188" fontId="39" fillId="0" borderId="0" xfId="36" applyNumberFormat="1" applyFont="1" applyBorder="1" applyAlignment="1">
      <alignment horizontal="center"/>
    </xf>
    <xf numFmtId="189" fontId="39" fillId="0" borderId="0" xfId="36" applyNumberFormat="1" applyFont="1" applyBorder="1" applyAlignment="1" quotePrefix="1">
      <alignment horizontal="center"/>
    </xf>
    <xf numFmtId="43" fontId="48" fillId="0" borderId="18" xfId="36" applyFont="1" applyBorder="1" applyAlignment="1">
      <alignment/>
    </xf>
    <xf numFmtId="43" fontId="48" fillId="0" borderId="14" xfId="36" applyFont="1" applyBorder="1" applyAlignment="1">
      <alignment/>
    </xf>
    <xf numFmtId="15" fontId="39" fillId="0" borderId="0" xfId="36" applyNumberFormat="1" applyFont="1" applyBorder="1" applyAlignment="1">
      <alignment horizontal="center"/>
    </xf>
    <xf numFmtId="190" fontId="39" fillId="0" borderId="0" xfId="36" applyNumberFormat="1" applyFont="1" applyBorder="1" applyAlignment="1" quotePrefix="1">
      <alignment horizontal="center"/>
    </xf>
    <xf numFmtId="15" fontId="39" fillId="0" borderId="17" xfId="0" applyNumberFormat="1" applyFont="1" applyBorder="1" applyAlignment="1">
      <alignment/>
    </xf>
    <xf numFmtId="15" fontId="40" fillId="0" borderId="0" xfId="36" applyNumberFormat="1" applyFont="1" applyBorder="1" applyAlignment="1">
      <alignment/>
    </xf>
    <xf numFmtId="0" fontId="37" fillId="0" borderId="12" xfId="0" applyFont="1" applyBorder="1" applyAlignment="1" quotePrefix="1">
      <alignment horizontal="left"/>
    </xf>
    <xf numFmtId="43" fontId="37" fillId="0" borderId="24" xfId="36" applyFont="1" applyBorder="1" applyAlignment="1">
      <alignment horizontal="left"/>
    </xf>
    <xf numFmtId="43" fontId="37" fillId="0" borderId="24" xfId="36" applyFont="1" applyBorder="1" applyAlignment="1">
      <alignment/>
    </xf>
    <xf numFmtId="0" fontId="37" fillId="0" borderId="26" xfId="0" applyFont="1" applyBorder="1" applyAlignment="1">
      <alignment/>
    </xf>
    <xf numFmtId="43" fontId="49" fillId="0" borderId="29" xfId="36" applyFont="1" applyBorder="1" applyAlignment="1">
      <alignment/>
    </xf>
    <xf numFmtId="0" fontId="47" fillId="0" borderId="18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39" fillId="0" borderId="17" xfId="0" applyFont="1" applyBorder="1" applyAlignment="1" quotePrefix="1">
      <alignment/>
    </xf>
    <xf numFmtId="0" fontId="39" fillId="0" borderId="0" xfId="0" applyFont="1" applyBorder="1" applyAlignment="1" quotePrefix="1">
      <alignment/>
    </xf>
    <xf numFmtId="0" fontId="39" fillId="0" borderId="18" xfId="0" applyFont="1" applyBorder="1" applyAlignment="1" quotePrefix="1">
      <alignment horizontal="left"/>
    </xf>
    <xf numFmtId="188" fontId="40" fillId="0" borderId="0" xfId="36" applyNumberFormat="1" applyFont="1" applyBorder="1" applyAlignment="1">
      <alignment horizontal="center"/>
    </xf>
    <xf numFmtId="43" fontId="50" fillId="0" borderId="16" xfId="36" applyFont="1" applyBorder="1" applyAlignment="1">
      <alignment/>
    </xf>
    <xf numFmtId="43" fontId="11" fillId="0" borderId="15" xfId="36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Alignment="1" quotePrefix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1" fillId="24" borderId="17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1" fillId="24" borderId="18" xfId="0" applyFont="1" applyFill="1" applyBorder="1" applyAlignment="1">
      <alignment horizontal="center"/>
    </xf>
    <xf numFmtId="0" fontId="37" fillId="24" borderId="0" xfId="0" applyFont="1" applyFill="1" applyAlignment="1">
      <alignment horizontal="center"/>
    </xf>
    <xf numFmtId="0" fontId="37" fillId="0" borderId="0" xfId="0" applyFont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24" borderId="17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left"/>
    </xf>
    <xf numFmtId="0" fontId="40" fillId="25" borderId="20" xfId="0" applyFont="1" applyFill="1" applyBorder="1" applyAlignment="1">
      <alignment horizontal="left"/>
    </xf>
    <xf numFmtId="0" fontId="40" fillId="25" borderId="21" xfId="0" applyFont="1" applyFill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42" fillId="24" borderId="23" xfId="0" applyFont="1" applyFill="1" applyBorder="1" applyAlignment="1">
      <alignment horizontal="left"/>
    </xf>
    <xf numFmtId="0" fontId="42" fillId="24" borderId="25" xfId="0" applyFont="1" applyFill="1" applyBorder="1" applyAlignment="1">
      <alignment horizontal="left"/>
    </xf>
    <xf numFmtId="0" fontId="42" fillId="24" borderId="12" xfId="0" applyFont="1" applyFill="1" applyBorder="1" applyAlignment="1">
      <alignment horizontal="left"/>
    </xf>
    <xf numFmtId="0" fontId="42" fillId="24" borderId="24" xfId="0" applyFont="1" applyFill="1" applyBorder="1" applyAlignment="1">
      <alignment horizontal="left"/>
    </xf>
    <xf numFmtId="0" fontId="42" fillId="24" borderId="26" xfId="0" applyFont="1" applyFill="1" applyBorder="1" applyAlignment="1">
      <alignment horizontal="left"/>
    </xf>
    <xf numFmtId="0" fontId="42" fillId="24" borderId="20" xfId="0" applyFont="1" applyFill="1" applyBorder="1" applyAlignment="1">
      <alignment horizontal="left"/>
    </xf>
    <xf numFmtId="0" fontId="42" fillId="24" borderId="21" xfId="0" applyFont="1" applyFill="1" applyBorder="1" applyAlignment="1">
      <alignment horizontal="left"/>
    </xf>
    <xf numFmtId="0" fontId="38" fillId="0" borderId="1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3" fontId="35" fillId="0" borderId="19" xfId="36" applyFont="1" applyBorder="1" applyAlignment="1">
      <alignment horizontal="center"/>
    </xf>
    <xf numFmtId="43" fontId="35" fillId="0" borderId="21" xfId="36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11" fillId="0" borderId="0" xfId="36" applyFont="1" applyAlignment="1">
      <alignment horizontal="center"/>
    </xf>
    <xf numFmtId="43" fontId="11" fillId="0" borderId="0" xfId="36" applyFont="1" applyAlignment="1" quotePrefix="1">
      <alignment horizontal="center"/>
    </xf>
    <xf numFmtId="0" fontId="39" fillId="0" borderId="12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6</xdr:row>
      <xdr:rowOff>295275</xdr:rowOff>
    </xdr:from>
    <xdr:to>
      <xdr:col>2</xdr:col>
      <xdr:colOff>762000</xdr:colOff>
      <xdr:row>33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5105400" y="2038350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7</xdr:row>
      <xdr:rowOff>9525</xdr:rowOff>
    </xdr:from>
    <xdr:to>
      <xdr:col>3</xdr:col>
      <xdr:colOff>904875</xdr:colOff>
      <xdr:row>33</xdr:row>
      <xdr:rowOff>295275</xdr:rowOff>
    </xdr:to>
    <xdr:sp>
      <xdr:nvSpPr>
        <xdr:cNvPr id="2" name="Line 2"/>
        <xdr:cNvSpPr>
          <a:spLocks/>
        </xdr:cNvSpPr>
      </xdr:nvSpPr>
      <xdr:spPr>
        <a:xfrm flipV="1">
          <a:off x="6276975" y="2057400"/>
          <a:ext cx="0" cy="821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41</xdr:row>
      <xdr:rowOff>295275</xdr:rowOff>
    </xdr:from>
    <xdr:to>
      <xdr:col>2</xdr:col>
      <xdr:colOff>762000</xdr:colOff>
      <xdr:row>68</xdr:row>
      <xdr:rowOff>238125</xdr:rowOff>
    </xdr:to>
    <xdr:sp>
      <xdr:nvSpPr>
        <xdr:cNvPr id="3" name="Line 3"/>
        <xdr:cNvSpPr>
          <a:spLocks/>
        </xdr:cNvSpPr>
      </xdr:nvSpPr>
      <xdr:spPr>
        <a:xfrm flipH="1">
          <a:off x="5105400" y="12687300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42</xdr:row>
      <xdr:rowOff>9525</xdr:rowOff>
    </xdr:from>
    <xdr:to>
      <xdr:col>3</xdr:col>
      <xdr:colOff>904875</xdr:colOff>
      <xdr:row>68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6276975" y="12706350"/>
          <a:ext cx="0" cy="821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75</xdr:row>
      <xdr:rowOff>19050</xdr:rowOff>
    </xdr:from>
    <xdr:to>
      <xdr:col>2</xdr:col>
      <xdr:colOff>809625</xdr:colOff>
      <xdr:row>102</xdr:row>
      <xdr:rowOff>266700</xdr:rowOff>
    </xdr:to>
    <xdr:sp>
      <xdr:nvSpPr>
        <xdr:cNvPr id="5" name="Line 5"/>
        <xdr:cNvSpPr>
          <a:spLocks/>
        </xdr:cNvSpPr>
      </xdr:nvSpPr>
      <xdr:spPr>
        <a:xfrm flipH="1">
          <a:off x="5153025" y="2276475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75</xdr:row>
      <xdr:rowOff>19050</xdr:rowOff>
    </xdr:from>
    <xdr:to>
      <xdr:col>3</xdr:col>
      <xdr:colOff>933450</xdr:colOff>
      <xdr:row>102</xdr:row>
      <xdr:rowOff>304800</xdr:rowOff>
    </xdr:to>
    <xdr:sp>
      <xdr:nvSpPr>
        <xdr:cNvPr id="6" name="Line 6"/>
        <xdr:cNvSpPr>
          <a:spLocks/>
        </xdr:cNvSpPr>
      </xdr:nvSpPr>
      <xdr:spPr>
        <a:xfrm flipV="1">
          <a:off x="6305550" y="2276475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109</xdr:row>
      <xdr:rowOff>19050</xdr:rowOff>
    </xdr:from>
    <xdr:to>
      <xdr:col>2</xdr:col>
      <xdr:colOff>771525</xdr:colOff>
      <xdr:row>136</xdr:row>
      <xdr:rowOff>266700</xdr:rowOff>
    </xdr:to>
    <xdr:sp>
      <xdr:nvSpPr>
        <xdr:cNvPr id="7" name="Line 7"/>
        <xdr:cNvSpPr>
          <a:spLocks/>
        </xdr:cNvSpPr>
      </xdr:nvSpPr>
      <xdr:spPr>
        <a:xfrm flipH="1">
          <a:off x="5114925" y="328517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895350</xdr:colOff>
      <xdr:row>109</xdr:row>
      <xdr:rowOff>28575</xdr:rowOff>
    </xdr:from>
    <xdr:to>
      <xdr:col>3</xdr:col>
      <xdr:colOff>895350</xdr:colOff>
      <xdr:row>137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267450" y="3286125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144</xdr:row>
      <xdr:rowOff>19050</xdr:rowOff>
    </xdr:from>
    <xdr:to>
      <xdr:col>2</xdr:col>
      <xdr:colOff>800100</xdr:colOff>
      <xdr:row>171</xdr:row>
      <xdr:rowOff>266700</xdr:rowOff>
    </xdr:to>
    <xdr:sp>
      <xdr:nvSpPr>
        <xdr:cNvPr id="9" name="Line 9"/>
        <xdr:cNvSpPr>
          <a:spLocks/>
        </xdr:cNvSpPr>
      </xdr:nvSpPr>
      <xdr:spPr>
        <a:xfrm flipH="1">
          <a:off x="5143500" y="4351020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144</xdr:row>
      <xdr:rowOff>47625</xdr:rowOff>
    </xdr:from>
    <xdr:to>
      <xdr:col>3</xdr:col>
      <xdr:colOff>942975</xdr:colOff>
      <xdr:row>172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6315075" y="4353877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177</xdr:row>
      <xdr:rowOff>19050</xdr:rowOff>
    </xdr:from>
    <xdr:to>
      <xdr:col>2</xdr:col>
      <xdr:colOff>800100</xdr:colOff>
      <xdr:row>204</xdr:row>
      <xdr:rowOff>266700</xdr:rowOff>
    </xdr:to>
    <xdr:sp>
      <xdr:nvSpPr>
        <xdr:cNvPr id="11" name="Line 11"/>
        <xdr:cNvSpPr>
          <a:spLocks/>
        </xdr:cNvSpPr>
      </xdr:nvSpPr>
      <xdr:spPr>
        <a:xfrm flipH="1">
          <a:off x="5143500" y="5355907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177</xdr:row>
      <xdr:rowOff>47625</xdr:rowOff>
    </xdr:from>
    <xdr:to>
      <xdr:col>3</xdr:col>
      <xdr:colOff>942975</xdr:colOff>
      <xdr:row>206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6315075" y="53587650"/>
          <a:ext cx="0" cy="882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212</xdr:row>
      <xdr:rowOff>19050</xdr:rowOff>
    </xdr:from>
    <xdr:to>
      <xdr:col>2</xdr:col>
      <xdr:colOff>800100</xdr:colOff>
      <xdr:row>238</xdr:row>
      <xdr:rowOff>266700</xdr:rowOff>
    </xdr:to>
    <xdr:sp>
      <xdr:nvSpPr>
        <xdr:cNvPr id="13" name="Line 13"/>
        <xdr:cNvSpPr>
          <a:spLocks/>
        </xdr:cNvSpPr>
      </xdr:nvSpPr>
      <xdr:spPr>
        <a:xfrm flipH="1">
          <a:off x="5143500" y="64074675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212</xdr:row>
      <xdr:rowOff>47625</xdr:rowOff>
    </xdr:from>
    <xdr:to>
      <xdr:col>3</xdr:col>
      <xdr:colOff>942975</xdr:colOff>
      <xdr:row>240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6315075" y="64103250"/>
          <a:ext cx="0" cy="852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246</xdr:row>
      <xdr:rowOff>28575</xdr:rowOff>
    </xdr:from>
    <xdr:to>
      <xdr:col>2</xdr:col>
      <xdr:colOff>809625</xdr:colOff>
      <xdr:row>275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153025" y="74437875"/>
          <a:ext cx="0" cy="854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933450</xdr:colOff>
      <xdr:row>246</xdr:row>
      <xdr:rowOff>47625</xdr:rowOff>
    </xdr:from>
    <xdr:to>
      <xdr:col>3</xdr:col>
      <xdr:colOff>933450</xdr:colOff>
      <xdr:row>275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6305550" y="74456925"/>
          <a:ext cx="0" cy="854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282</xdr:row>
      <xdr:rowOff>247650</xdr:rowOff>
    </xdr:from>
    <xdr:to>
      <xdr:col>2</xdr:col>
      <xdr:colOff>809625</xdr:colOff>
      <xdr:row>310</xdr:row>
      <xdr:rowOff>28575</xdr:rowOff>
    </xdr:to>
    <xdr:sp>
      <xdr:nvSpPr>
        <xdr:cNvPr id="17" name="Line 17"/>
        <xdr:cNvSpPr>
          <a:spLocks/>
        </xdr:cNvSpPr>
      </xdr:nvSpPr>
      <xdr:spPr>
        <a:xfrm flipH="1">
          <a:off x="5133975" y="84848700"/>
          <a:ext cx="1905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283</xdr:row>
      <xdr:rowOff>28575</xdr:rowOff>
    </xdr:from>
    <xdr:to>
      <xdr:col>3</xdr:col>
      <xdr:colOff>942975</xdr:colOff>
      <xdr:row>310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6315075" y="84896325"/>
          <a:ext cx="0" cy="718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326</xdr:row>
      <xdr:rowOff>161925</xdr:rowOff>
    </xdr:from>
    <xdr:to>
      <xdr:col>2</xdr:col>
      <xdr:colOff>828675</xdr:colOff>
      <xdr:row>353</xdr:row>
      <xdr:rowOff>219075</xdr:rowOff>
    </xdr:to>
    <xdr:sp>
      <xdr:nvSpPr>
        <xdr:cNvPr id="19" name="Line 17"/>
        <xdr:cNvSpPr>
          <a:spLocks/>
        </xdr:cNvSpPr>
      </xdr:nvSpPr>
      <xdr:spPr>
        <a:xfrm flipH="1">
          <a:off x="5153025" y="95430975"/>
          <a:ext cx="19050" cy="802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327</xdr:row>
      <xdr:rowOff>66675</xdr:rowOff>
    </xdr:from>
    <xdr:to>
      <xdr:col>3</xdr:col>
      <xdr:colOff>942975</xdr:colOff>
      <xdr:row>354</xdr:row>
      <xdr:rowOff>38100</xdr:rowOff>
    </xdr:to>
    <xdr:sp>
      <xdr:nvSpPr>
        <xdr:cNvPr id="20" name="Line 18"/>
        <xdr:cNvSpPr>
          <a:spLocks/>
        </xdr:cNvSpPr>
      </xdr:nvSpPr>
      <xdr:spPr>
        <a:xfrm flipV="1">
          <a:off x="6315075" y="95631000"/>
          <a:ext cx="0" cy="795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364</xdr:row>
      <xdr:rowOff>161925</xdr:rowOff>
    </xdr:from>
    <xdr:to>
      <xdr:col>2</xdr:col>
      <xdr:colOff>828675</xdr:colOff>
      <xdr:row>391</xdr:row>
      <xdr:rowOff>219075</xdr:rowOff>
    </xdr:to>
    <xdr:sp>
      <xdr:nvSpPr>
        <xdr:cNvPr id="21" name="Line 17"/>
        <xdr:cNvSpPr>
          <a:spLocks/>
        </xdr:cNvSpPr>
      </xdr:nvSpPr>
      <xdr:spPr>
        <a:xfrm flipH="1">
          <a:off x="5153025" y="105984675"/>
          <a:ext cx="19050" cy="802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365</xdr:row>
      <xdr:rowOff>66675</xdr:rowOff>
    </xdr:from>
    <xdr:to>
      <xdr:col>3</xdr:col>
      <xdr:colOff>942975</xdr:colOff>
      <xdr:row>392</xdr:row>
      <xdr:rowOff>38100</xdr:rowOff>
    </xdr:to>
    <xdr:sp>
      <xdr:nvSpPr>
        <xdr:cNvPr id="22" name="Line 18"/>
        <xdr:cNvSpPr>
          <a:spLocks/>
        </xdr:cNvSpPr>
      </xdr:nvSpPr>
      <xdr:spPr>
        <a:xfrm flipV="1">
          <a:off x="6315075" y="106184700"/>
          <a:ext cx="0" cy="795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402</xdr:row>
      <xdr:rowOff>161925</xdr:rowOff>
    </xdr:from>
    <xdr:to>
      <xdr:col>2</xdr:col>
      <xdr:colOff>828675</xdr:colOff>
      <xdr:row>429</xdr:row>
      <xdr:rowOff>219075</xdr:rowOff>
    </xdr:to>
    <xdr:sp>
      <xdr:nvSpPr>
        <xdr:cNvPr id="23" name="Line 17"/>
        <xdr:cNvSpPr>
          <a:spLocks/>
        </xdr:cNvSpPr>
      </xdr:nvSpPr>
      <xdr:spPr>
        <a:xfrm flipH="1">
          <a:off x="5153025" y="116519325"/>
          <a:ext cx="19050" cy="802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403</xdr:row>
      <xdr:rowOff>66675</xdr:rowOff>
    </xdr:from>
    <xdr:to>
      <xdr:col>3</xdr:col>
      <xdr:colOff>942975</xdr:colOff>
      <xdr:row>430</xdr:row>
      <xdr:rowOff>38100</xdr:rowOff>
    </xdr:to>
    <xdr:sp>
      <xdr:nvSpPr>
        <xdr:cNvPr id="24" name="Line 18"/>
        <xdr:cNvSpPr>
          <a:spLocks/>
        </xdr:cNvSpPr>
      </xdr:nvSpPr>
      <xdr:spPr>
        <a:xfrm flipV="1">
          <a:off x="6315075" y="116719350"/>
          <a:ext cx="0" cy="795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441</xdr:row>
      <xdr:rowOff>161925</xdr:rowOff>
    </xdr:from>
    <xdr:to>
      <xdr:col>2</xdr:col>
      <xdr:colOff>828675</xdr:colOff>
      <xdr:row>468</xdr:row>
      <xdr:rowOff>219075</xdr:rowOff>
    </xdr:to>
    <xdr:sp>
      <xdr:nvSpPr>
        <xdr:cNvPr id="25" name="Line 17"/>
        <xdr:cNvSpPr>
          <a:spLocks/>
        </xdr:cNvSpPr>
      </xdr:nvSpPr>
      <xdr:spPr>
        <a:xfrm flipH="1">
          <a:off x="5153025" y="127139700"/>
          <a:ext cx="19050" cy="802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442</xdr:row>
      <xdr:rowOff>66675</xdr:rowOff>
    </xdr:from>
    <xdr:to>
      <xdr:col>3</xdr:col>
      <xdr:colOff>942975</xdr:colOff>
      <xdr:row>469</xdr:row>
      <xdr:rowOff>38100</xdr:rowOff>
    </xdr:to>
    <xdr:sp>
      <xdr:nvSpPr>
        <xdr:cNvPr id="26" name="Line 18"/>
        <xdr:cNvSpPr>
          <a:spLocks/>
        </xdr:cNvSpPr>
      </xdr:nvSpPr>
      <xdr:spPr>
        <a:xfrm flipV="1">
          <a:off x="6315075" y="127339725"/>
          <a:ext cx="0" cy="795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480</xdr:row>
      <xdr:rowOff>161925</xdr:rowOff>
    </xdr:from>
    <xdr:to>
      <xdr:col>2</xdr:col>
      <xdr:colOff>828675</xdr:colOff>
      <xdr:row>508</xdr:row>
      <xdr:rowOff>219075</xdr:rowOff>
    </xdr:to>
    <xdr:sp>
      <xdr:nvSpPr>
        <xdr:cNvPr id="27" name="Line 17"/>
        <xdr:cNvSpPr>
          <a:spLocks/>
        </xdr:cNvSpPr>
      </xdr:nvSpPr>
      <xdr:spPr>
        <a:xfrm flipH="1">
          <a:off x="5153025" y="137760075"/>
          <a:ext cx="19050" cy="832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481</xdr:row>
      <xdr:rowOff>66675</xdr:rowOff>
    </xdr:from>
    <xdr:to>
      <xdr:col>3</xdr:col>
      <xdr:colOff>942975</xdr:colOff>
      <xdr:row>509</xdr:row>
      <xdr:rowOff>38100</xdr:rowOff>
    </xdr:to>
    <xdr:sp>
      <xdr:nvSpPr>
        <xdr:cNvPr id="28" name="Line 18"/>
        <xdr:cNvSpPr>
          <a:spLocks/>
        </xdr:cNvSpPr>
      </xdr:nvSpPr>
      <xdr:spPr>
        <a:xfrm flipV="1">
          <a:off x="6315075" y="137960100"/>
          <a:ext cx="0" cy="824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8</xdr:row>
      <xdr:rowOff>0</xdr:rowOff>
    </xdr:from>
    <xdr:to>
      <xdr:col>1</xdr:col>
      <xdr:colOff>704850</xdr:colOff>
      <xdr:row>27</xdr:row>
      <xdr:rowOff>247650</xdr:rowOff>
    </xdr:to>
    <xdr:sp>
      <xdr:nvSpPr>
        <xdr:cNvPr id="1" name="Line 1"/>
        <xdr:cNvSpPr>
          <a:spLocks/>
        </xdr:cNvSpPr>
      </xdr:nvSpPr>
      <xdr:spPr>
        <a:xfrm flipV="1">
          <a:off x="1743075" y="2362200"/>
          <a:ext cx="0" cy="587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8</xdr:row>
      <xdr:rowOff>9525</xdr:rowOff>
    </xdr:from>
    <xdr:to>
      <xdr:col>0</xdr:col>
      <xdr:colOff>819150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819150" y="2371725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8</xdr:row>
      <xdr:rowOff>38100</xdr:rowOff>
    </xdr:from>
    <xdr:to>
      <xdr:col>5</xdr:col>
      <xdr:colOff>828675</xdr:colOff>
      <xdr:row>28</xdr:row>
      <xdr:rowOff>38100</xdr:rowOff>
    </xdr:to>
    <xdr:sp>
      <xdr:nvSpPr>
        <xdr:cNvPr id="3" name="Line 3"/>
        <xdr:cNvSpPr>
          <a:spLocks/>
        </xdr:cNvSpPr>
      </xdr:nvSpPr>
      <xdr:spPr>
        <a:xfrm>
          <a:off x="5981700" y="240030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</xdr:row>
      <xdr:rowOff>57150</xdr:rowOff>
    </xdr:from>
    <xdr:to>
      <xdr:col>0</xdr:col>
      <xdr:colOff>809625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942975"/>
          <a:ext cx="9525" cy="769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</xdr:row>
      <xdr:rowOff>9525</xdr:rowOff>
    </xdr:from>
    <xdr:to>
      <xdr:col>1</xdr:col>
      <xdr:colOff>733425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743075" y="895350"/>
          <a:ext cx="9525" cy="867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638175</xdr:colOff>
      <xdr:row>2</xdr:row>
      <xdr:rowOff>219075</xdr:rowOff>
    </xdr:from>
    <xdr:to>
      <xdr:col>5</xdr:col>
      <xdr:colOff>657225</xdr:colOff>
      <xdr:row>31</xdr:row>
      <xdr:rowOff>285750</xdr:rowOff>
    </xdr:to>
    <xdr:sp>
      <xdr:nvSpPr>
        <xdr:cNvPr id="3" name="Line 3"/>
        <xdr:cNvSpPr>
          <a:spLocks/>
        </xdr:cNvSpPr>
      </xdr:nvSpPr>
      <xdr:spPr>
        <a:xfrm flipH="1" flipV="1">
          <a:off x="5800725" y="809625"/>
          <a:ext cx="19050" cy="870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y\mount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"/>
      <sheetName val="รายรับ "/>
      <sheetName val="หมายเหตุ 1"/>
      <sheetName val="หมายเหต 6"/>
      <sheetName val="หมายเหตุ 4"/>
      <sheetName val="หมายเหตุ 2,3 "/>
      <sheetName val="ใบผ่าน"/>
      <sheetName val="งบทดลอง"/>
      <sheetName val="BS"/>
      <sheetName val="มาตรฐาน1"/>
      <sheetName val="มาตรฐาน2"/>
      <sheetName val="มาตรฐาน3"/>
      <sheetName val="ใบผ่าน (2)"/>
    </sheetNames>
    <sheetDataSet>
      <sheetData sheetId="2">
        <row r="30">
          <cell r="H30">
            <v>17327523.619999997</v>
          </cell>
        </row>
      </sheetData>
      <sheetData sheetId="3">
        <row r="348">
          <cell r="J348">
            <v>440120</v>
          </cell>
        </row>
      </sheetData>
      <sheetData sheetId="5">
        <row r="11">
          <cell r="G11">
            <v>582669.1799999999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zoomScalePageLayoutView="0" workbookViewId="0" topLeftCell="A467">
      <selection activeCell="D515" sqref="D515"/>
    </sheetView>
  </sheetViews>
  <sheetFormatPr defaultColWidth="9.140625" defaultRowHeight="12.75"/>
  <cols>
    <col min="1" max="1" width="57.28125" style="0" customWidth="1"/>
    <col min="2" max="2" width="7.8515625" style="0" customWidth="1"/>
    <col min="3" max="3" width="15.421875" style="0" customWidth="1"/>
    <col min="4" max="4" width="17.421875" style="0" customWidth="1"/>
    <col min="7" max="7" width="14.00390625" style="0" bestFit="1" customWidth="1"/>
  </cols>
  <sheetData>
    <row r="1" spans="1:4" ht="23.25">
      <c r="A1" s="281" t="s">
        <v>0</v>
      </c>
      <c r="B1" s="281"/>
      <c r="C1" s="281"/>
      <c r="D1" s="281"/>
    </row>
    <row r="2" spans="1:4" ht="23.25">
      <c r="A2" s="281" t="s">
        <v>1</v>
      </c>
      <c r="B2" s="281"/>
      <c r="C2" s="281"/>
      <c r="D2" s="281"/>
    </row>
    <row r="3" spans="1:4" ht="23.25">
      <c r="A3" s="277" t="s">
        <v>161</v>
      </c>
      <c r="B3" s="277"/>
      <c r="C3" s="277"/>
      <c r="D3" s="277"/>
    </row>
    <row r="4" spans="1:4" ht="19.5" customHeight="1">
      <c r="A4" s="1"/>
      <c r="B4" s="2"/>
      <c r="C4" s="3"/>
      <c r="D4" s="3"/>
    </row>
    <row r="5" spans="1:4" ht="24">
      <c r="A5" s="4" t="s">
        <v>2</v>
      </c>
      <c r="B5" s="5" t="s">
        <v>3</v>
      </c>
      <c r="C5" s="6" t="s">
        <v>4</v>
      </c>
      <c r="D5" s="6" t="s">
        <v>5</v>
      </c>
    </row>
    <row r="6" spans="1:4" ht="24">
      <c r="A6" s="7"/>
      <c r="B6" s="8" t="s">
        <v>6</v>
      </c>
      <c r="C6" s="9"/>
      <c r="D6" s="9"/>
    </row>
    <row r="7" spans="1:4" ht="24">
      <c r="A7" s="10" t="s">
        <v>7</v>
      </c>
      <c r="B7" s="11" t="s">
        <v>8</v>
      </c>
      <c r="C7" s="12">
        <v>0</v>
      </c>
      <c r="D7" s="13"/>
    </row>
    <row r="8" spans="1:4" ht="24">
      <c r="A8" s="1" t="s">
        <v>9</v>
      </c>
      <c r="B8" s="11" t="s">
        <v>10</v>
      </c>
      <c r="C8" s="14">
        <v>0</v>
      </c>
      <c r="D8" s="15"/>
    </row>
    <row r="9" spans="1:4" ht="24">
      <c r="A9" s="1" t="s">
        <v>11</v>
      </c>
      <c r="B9" s="11" t="s">
        <v>12</v>
      </c>
      <c r="C9" s="3">
        <v>396827.93</v>
      </c>
      <c r="D9" s="15"/>
    </row>
    <row r="10" spans="1:4" ht="24">
      <c r="A10" s="1" t="s">
        <v>13</v>
      </c>
      <c r="B10" s="11" t="s">
        <v>12</v>
      </c>
      <c r="C10" s="3">
        <v>11443127.21</v>
      </c>
      <c r="D10" s="15"/>
    </row>
    <row r="11" spans="1:8" ht="24">
      <c r="A11" s="1" t="s">
        <v>14</v>
      </c>
      <c r="B11" s="11" t="s">
        <v>12</v>
      </c>
      <c r="C11" s="3">
        <v>111015.77</v>
      </c>
      <c r="D11" s="15"/>
      <c r="H11">
        <v>1</v>
      </c>
    </row>
    <row r="12" spans="1:4" ht="24">
      <c r="A12" s="1" t="s">
        <v>15</v>
      </c>
      <c r="B12" s="11" t="s">
        <v>16</v>
      </c>
      <c r="C12" s="3">
        <v>48000</v>
      </c>
      <c r="D12" s="15"/>
    </row>
    <row r="13" spans="1:4" ht="24">
      <c r="A13" s="1" t="s">
        <v>17</v>
      </c>
      <c r="B13" s="16"/>
      <c r="C13" s="3">
        <v>45495.43</v>
      </c>
      <c r="D13" s="15"/>
    </row>
    <row r="14" spans="1:4" ht="24">
      <c r="A14" s="1" t="s">
        <v>18</v>
      </c>
      <c r="B14" s="11" t="s">
        <v>19</v>
      </c>
      <c r="C14" s="3">
        <v>1670837.3</v>
      </c>
      <c r="D14" s="15"/>
    </row>
    <row r="15" spans="1:4" ht="24">
      <c r="A15" s="1" t="s">
        <v>20</v>
      </c>
      <c r="B15" s="16">
        <v>100</v>
      </c>
      <c r="C15" s="3">
        <v>2920588</v>
      </c>
      <c r="D15" s="15"/>
    </row>
    <row r="16" spans="1:4" ht="24">
      <c r="A16" s="1" t="s">
        <v>21</v>
      </c>
      <c r="B16" s="16">
        <v>120</v>
      </c>
      <c r="C16" s="3">
        <v>251100</v>
      </c>
      <c r="D16" s="15"/>
    </row>
    <row r="17" spans="1:4" ht="24">
      <c r="A17" s="1" t="s">
        <v>22</v>
      </c>
      <c r="B17" s="16">
        <v>130</v>
      </c>
      <c r="C17" s="3">
        <v>673920</v>
      </c>
      <c r="D17" s="15"/>
    </row>
    <row r="18" spans="1:4" ht="24">
      <c r="A18" s="1" t="s">
        <v>23</v>
      </c>
      <c r="B18" s="16">
        <v>200</v>
      </c>
      <c r="C18" s="3">
        <v>353592</v>
      </c>
      <c r="D18" s="15"/>
    </row>
    <row r="19" spans="1:4" ht="24">
      <c r="A19" s="1" t="s">
        <v>24</v>
      </c>
      <c r="B19" s="16">
        <v>250</v>
      </c>
      <c r="C19" s="3">
        <v>952556.82</v>
      </c>
      <c r="D19" s="15"/>
    </row>
    <row r="20" spans="1:4" ht="24">
      <c r="A20" s="1" t="s">
        <v>25</v>
      </c>
      <c r="B20" s="16">
        <v>270</v>
      </c>
      <c r="C20" s="3">
        <v>923362.36</v>
      </c>
      <c r="D20" s="15"/>
    </row>
    <row r="21" spans="1:4" ht="24">
      <c r="A21" s="1" t="s">
        <v>26</v>
      </c>
      <c r="B21" s="16">
        <v>300</v>
      </c>
      <c r="C21" s="3">
        <v>105513.88</v>
      </c>
      <c r="D21" s="15"/>
    </row>
    <row r="22" spans="1:4" ht="24">
      <c r="A22" s="1" t="s">
        <v>27</v>
      </c>
      <c r="B22" s="16">
        <v>400</v>
      </c>
      <c r="C22" s="14">
        <v>1686624.64</v>
      </c>
      <c r="D22" s="15"/>
    </row>
    <row r="23" spans="1:4" ht="24">
      <c r="A23" s="1" t="s">
        <v>28</v>
      </c>
      <c r="B23" s="16">
        <v>450</v>
      </c>
      <c r="C23" s="14">
        <v>0</v>
      </c>
      <c r="D23" s="15"/>
    </row>
    <row r="24" spans="1:4" ht="24">
      <c r="A24" s="1" t="s">
        <v>29</v>
      </c>
      <c r="B24" s="16">
        <v>500</v>
      </c>
      <c r="C24" s="14">
        <v>0</v>
      </c>
      <c r="D24" s="15"/>
    </row>
    <row r="25" spans="1:4" ht="24">
      <c r="A25" s="1" t="s">
        <v>30</v>
      </c>
      <c r="B25" s="11">
        <v>550</v>
      </c>
      <c r="C25" s="14">
        <v>664040</v>
      </c>
      <c r="D25" s="15"/>
    </row>
    <row r="26" spans="1:4" ht="24">
      <c r="A26" s="1" t="s">
        <v>31</v>
      </c>
      <c r="B26" s="16"/>
      <c r="C26" s="3"/>
      <c r="D26" s="15">
        <f>'[1]หมายเหตุ 1'!H30</f>
        <v>17327523.619999997</v>
      </c>
    </row>
    <row r="27" spans="1:4" ht="24">
      <c r="A27" s="17" t="s">
        <v>32</v>
      </c>
      <c r="B27" s="16"/>
      <c r="C27" s="3"/>
      <c r="D27" s="15">
        <f>'[1]หมายเหตุ 2,3 '!G11</f>
        <v>582669.1799999999</v>
      </c>
    </row>
    <row r="28" spans="1:4" ht="24">
      <c r="A28" s="1" t="s">
        <v>33</v>
      </c>
      <c r="B28" s="16"/>
      <c r="C28" s="3"/>
      <c r="D28" s="15">
        <v>166</v>
      </c>
    </row>
    <row r="29" spans="1:4" ht="24">
      <c r="A29" s="1" t="s">
        <v>34</v>
      </c>
      <c r="B29" s="16"/>
      <c r="C29" s="3"/>
      <c r="D29" s="15">
        <v>0</v>
      </c>
    </row>
    <row r="30" spans="1:4" ht="24">
      <c r="A30" s="1" t="s">
        <v>35</v>
      </c>
      <c r="B30" s="16"/>
      <c r="C30" s="3"/>
      <c r="D30" s="15">
        <v>0</v>
      </c>
    </row>
    <row r="31" spans="1:4" ht="24">
      <c r="A31" s="1" t="s">
        <v>36</v>
      </c>
      <c r="B31" s="16"/>
      <c r="C31" s="3"/>
      <c r="D31" s="15">
        <f>'[1]หมายเหต 6'!J348</f>
        <v>440120</v>
      </c>
    </row>
    <row r="32" spans="1:4" ht="24">
      <c r="A32" s="1" t="s">
        <v>37</v>
      </c>
      <c r="B32" s="16"/>
      <c r="C32" s="3"/>
      <c r="D32" s="15">
        <v>620969.51</v>
      </c>
    </row>
    <row r="33" spans="1:4" ht="24">
      <c r="A33" s="1" t="s">
        <v>38</v>
      </c>
      <c r="B33" s="16"/>
      <c r="C33" s="3"/>
      <c r="D33" s="15">
        <v>3275153.03</v>
      </c>
    </row>
    <row r="34" spans="1:4" ht="24.75" thickBot="1">
      <c r="A34" s="1"/>
      <c r="B34" s="16"/>
      <c r="C34" s="18">
        <f>SUM(C7:C33)</f>
        <v>22246601.34</v>
      </c>
      <c r="D34" s="18">
        <f>SUM(D26:D33)</f>
        <v>22246601.34</v>
      </c>
    </row>
    <row r="35" spans="1:4" ht="24.75" thickTop="1">
      <c r="A35" s="1"/>
      <c r="B35" s="92"/>
      <c r="C35" s="93"/>
      <c r="D35" s="93"/>
    </row>
    <row r="36" spans="1:4" ht="23.25">
      <c r="A36" s="281" t="s">
        <v>0</v>
      </c>
      <c r="B36" s="281"/>
      <c r="C36" s="281"/>
      <c r="D36" s="281"/>
    </row>
    <row r="37" spans="1:4" ht="23.25">
      <c r="A37" s="281" t="s">
        <v>1</v>
      </c>
      <c r="B37" s="281"/>
      <c r="C37" s="281"/>
      <c r="D37" s="281"/>
    </row>
    <row r="38" spans="1:4" ht="23.25">
      <c r="A38" s="277" t="s">
        <v>160</v>
      </c>
      <c r="B38" s="277"/>
      <c r="C38" s="277"/>
      <c r="D38" s="277"/>
    </row>
    <row r="39" spans="1:4" ht="23.25" customHeight="1">
      <c r="A39" s="1"/>
      <c r="B39" s="2"/>
      <c r="C39" s="3"/>
      <c r="D39" s="3"/>
    </row>
    <row r="40" spans="1:4" ht="24">
      <c r="A40" s="4" t="s">
        <v>2</v>
      </c>
      <c r="B40" s="5" t="s">
        <v>3</v>
      </c>
      <c r="C40" s="6" t="s">
        <v>4</v>
      </c>
      <c r="D40" s="6" t="s">
        <v>5</v>
      </c>
    </row>
    <row r="41" spans="1:4" ht="24">
      <c r="A41" s="7"/>
      <c r="B41" s="8" t="s">
        <v>6</v>
      </c>
      <c r="C41" s="9"/>
      <c r="D41" s="9"/>
    </row>
    <row r="42" spans="1:4" ht="24">
      <c r="A42" s="10" t="s">
        <v>7</v>
      </c>
      <c r="B42" s="11" t="s">
        <v>8</v>
      </c>
      <c r="C42" s="12">
        <v>0</v>
      </c>
      <c r="D42" s="13"/>
    </row>
    <row r="43" spans="1:4" ht="24">
      <c r="A43" s="1" t="s">
        <v>9</v>
      </c>
      <c r="B43" s="11" t="s">
        <v>10</v>
      </c>
      <c r="C43" s="14">
        <v>0</v>
      </c>
      <c r="D43" s="15"/>
    </row>
    <row r="44" spans="1:7" ht="24">
      <c r="A44" s="1" t="s">
        <v>11</v>
      </c>
      <c r="B44" s="11" t="s">
        <v>12</v>
      </c>
      <c r="C44" s="3">
        <v>396827.93</v>
      </c>
      <c r="D44" s="15"/>
      <c r="G44">
        <v>2</v>
      </c>
    </row>
    <row r="45" spans="1:4" ht="24">
      <c r="A45" s="1" t="s">
        <v>13</v>
      </c>
      <c r="B45" s="11" t="s">
        <v>12</v>
      </c>
      <c r="C45" s="3">
        <v>11443127.21</v>
      </c>
      <c r="D45" s="15"/>
    </row>
    <row r="46" spans="1:4" ht="24">
      <c r="A46" s="1" t="s">
        <v>14</v>
      </c>
      <c r="B46" s="11" t="s">
        <v>12</v>
      </c>
      <c r="C46" s="3">
        <v>111015.77</v>
      </c>
      <c r="D46" s="15"/>
    </row>
    <row r="47" spans="1:4" ht="24">
      <c r="A47" s="1" t="s">
        <v>15</v>
      </c>
      <c r="B47" s="11" t="s">
        <v>16</v>
      </c>
      <c r="C47" s="3">
        <v>48000</v>
      </c>
      <c r="D47" s="15"/>
    </row>
    <row r="48" spans="1:4" ht="24">
      <c r="A48" s="1" t="s">
        <v>17</v>
      </c>
      <c r="B48" s="16"/>
      <c r="C48" s="3">
        <v>45495.43</v>
      </c>
      <c r="D48" s="15"/>
    </row>
    <row r="49" spans="1:4" ht="24">
      <c r="A49" s="1" t="s">
        <v>18</v>
      </c>
      <c r="B49" s="11" t="s">
        <v>19</v>
      </c>
      <c r="C49" s="3">
        <v>1670837.3</v>
      </c>
      <c r="D49" s="15"/>
    </row>
    <row r="50" spans="1:4" ht="24">
      <c r="A50" s="1" t="s">
        <v>20</v>
      </c>
      <c r="B50" s="16">
        <v>100</v>
      </c>
      <c r="C50" s="3">
        <v>2920588</v>
      </c>
      <c r="D50" s="15"/>
    </row>
    <row r="51" spans="1:4" ht="24">
      <c r="A51" s="1" t="s">
        <v>21</v>
      </c>
      <c r="B51" s="16">
        <v>120</v>
      </c>
      <c r="C51" s="3">
        <v>251100</v>
      </c>
      <c r="D51" s="15"/>
    </row>
    <row r="52" spans="1:4" ht="24">
      <c r="A52" s="1" t="s">
        <v>22</v>
      </c>
      <c r="B52" s="16">
        <v>130</v>
      </c>
      <c r="C52" s="3">
        <v>673920</v>
      </c>
      <c r="D52" s="15"/>
    </row>
    <row r="53" spans="1:4" ht="24">
      <c r="A53" s="1" t="s">
        <v>23</v>
      </c>
      <c r="B53" s="16">
        <v>200</v>
      </c>
      <c r="C53" s="3">
        <v>353592</v>
      </c>
      <c r="D53" s="15"/>
    </row>
    <row r="54" spans="1:4" ht="24">
      <c r="A54" s="1" t="s">
        <v>24</v>
      </c>
      <c r="B54" s="16">
        <v>250</v>
      </c>
      <c r="C54" s="3">
        <v>952556.82</v>
      </c>
      <c r="D54" s="15"/>
    </row>
    <row r="55" spans="1:4" ht="24">
      <c r="A55" s="1" t="s">
        <v>25</v>
      </c>
      <c r="B55" s="16">
        <v>270</v>
      </c>
      <c r="C55" s="3">
        <v>923362.36</v>
      </c>
      <c r="D55" s="15"/>
    </row>
    <row r="56" spans="1:4" ht="24">
      <c r="A56" s="1" t="s">
        <v>26</v>
      </c>
      <c r="B56" s="16">
        <v>300</v>
      </c>
      <c r="C56" s="3">
        <v>105513.88</v>
      </c>
      <c r="D56" s="15"/>
    </row>
    <row r="57" spans="1:4" ht="24">
      <c r="A57" s="1" t="s">
        <v>27</v>
      </c>
      <c r="B57" s="16">
        <v>400</v>
      </c>
      <c r="C57" s="14">
        <v>1686624.64</v>
      </c>
      <c r="D57" s="15"/>
    </row>
    <row r="58" spans="1:4" ht="24">
      <c r="A58" s="1" t="s">
        <v>28</v>
      </c>
      <c r="B58" s="16">
        <v>450</v>
      </c>
      <c r="C58" s="14">
        <v>0</v>
      </c>
      <c r="D58" s="15"/>
    </row>
    <row r="59" spans="1:4" ht="24">
      <c r="A59" s="1" t="s">
        <v>29</v>
      </c>
      <c r="B59" s="16">
        <v>500</v>
      </c>
      <c r="C59" s="14">
        <v>0</v>
      </c>
      <c r="D59" s="15"/>
    </row>
    <row r="60" spans="1:4" ht="24">
      <c r="A60" s="1" t="s">
        <v>30</v>
      </c>
      <c r="B60" s="11">
        <v>550</v>
      </c>
      <c r="C60" s="14">
        <v>664040</v>
      </c>
      <c r="D60" s="15"/>
    </row>
    <row r="61" spans="1:4" ht="24">
      <c r="A61" s="1" t="s">
        <v>31</v>
      </c>
      <c r="B61" s="16"/>
      <c r="C61" s="3"/>
      <c r="D61" s="15">
        <f>'[1]หมายเหตุ 1'!H65</f>
        <v>0</v>
      </c>
    </row>
    <row r="62" spans="1:4" ht="24">
      <c r="A62" s="17" t="s">
        <v>32</v>
      </c>
      <c r="B62" s="16"/>
      <c r="C62" s="3"/>
      <c r="D62" s="15">
        <f>'[1]หมายเหตุ 2,3 '!G46</f>
        <v>0</v>
      </c>
    </row>
    <row r="63" spans="1:4" ht="24">
      <c r="A63" s="1" t="s">
        <v>33</v>
      </c>
      <c r="B63" s="16"/>
      <c r="C63" s="3"/>
      <c r="D63" s="15">
        <v>166</v>
      </c>
    </row>
    <row r="64" spans="1:4" ht="24">
      <c r="A64" s="1" t="s">
        <v>34</v>
      </c>
      <c r="B64" s="16"/>
      <c r="C64" s="3"/>
      <c r="D64" s="15">
        <v>0</v>
      </c>
    </row>
    <row r="65" spans="1:4" ht="24">
      <c r="A65" s="1" t="s">
        <v>35</v>
      </c>
      <c r="B65" s="16"/>
      <c r="C65" s="3"/>
      <c r="D65" s="15">
        <v>0</v>
      </c>
    </row>
    <row r="66" spans="1:4" ht="24">
      <c r="A66" s="1" t="s">
        <v>36</v>
      </c>
      <c r="B66" s="16"/>
      <c r="C66" s="3"/>
      <c r="D66" s="15">
        <f>'[1]หมายเหต 6'!J383</f>
        <v>0</v>
      </c>
    </row>
    <row r="67" spans="1:4" ht="24">
      <c r="A67" s="1" t="s">
        <v>37</v>
      </c>
      <c r="B67" s="16"/>
      <c r="C67" s="3"/>
      <c r="D67" s="15">
        <v>620969.51</v>
      </c>
    </row>
    <row r="68" spans="1:4" ht="24">
      <c r="A68" s="1" t="s">
        <v>38</v>
      </c>
      <c r="B68" s="16"/>
      <c r="C68" s="3"/>
      <c r="D68" s="15">
        <v>3275153.03</v>
      </c>
    </row>
    <row r="69" spans="1:4" ht="24.75" thickBot="1">
      <c r="A69" s="1"/>
      <c r="B69" s="16"/>
      <c r="C69" s="18">
        <f>SUM(C42:C68)</f>
        <v>22246601.34</v>
      </c>
      <c r="D69" s="18">
        <f>SUM(D61:D68)</f>
        <v>3896288.54</v>
      </c>
    </row>
    <row r="70" spans="1:4" ht="24.75" thickTop="1">
      <c r="A70" s="1"/>
      <c r="B70" s="92"/>
      <c r="C70" s="93"/>
      <c r="D70" s="93"/>
    </row>
    <row r="71" spans="1:4" ht="23.25">
      <c r="A71" s="281" t="s">
        <v>0</v>
      </c>
      <c r="B71" s="281"/>
      <c r="C71" s="281"/>
      <c r="D71" s="281"/>
    </row>
    <row r="72" spans="1:4" ht="23.25">
      <c r="A72" s="281" t="s">
        <v>1</v>
      </c>
      <c r="B72" s="281"/>
      <c r="C72" s="281"/>
      <c r="D72" s="281"/>
    </row>
    <row r="73" spans="1:4" ht="23.25">
      <c r="A73" s="277" t="s">
        <v>187</v>
      </c>
      <c r="B73" s="277"/>
      <c r="C73" s="277"/>
      <c r="D73" s="277"/>
    </row>
    <row r="74" spans="1:4" ht="24">
      <c r="A74" s="4" t="s">
        <v>2</v>
      </c>
      <c r="B74" s="5" t="s">
        <v>3</v>
      </c>
      <c r="C74" s="6" t="s">
        <v>4</v>
      </c>
      <c r="D74" s="6" t="s">
        <v>5</v>
      </c>
    </row>
    <row r="75" spans="1:4" ht="24">
      <c r="A75" s="7"/>
      <c r="B75" s="8" t="s">
        <v>6</v>
      </c>
      <c r="C75" s="9"/>
      <c r="D75" s="9"/>
    </row>
    <row r="76" spans="1:4" ht="24">
      <c r="A76" s="1" t="s">
        <v>9</v>
      </c>
      <c r="B76" s="11" t="s">
        <v>10</v>
      </c>
      <c r="C76" s="14">
        <v>383337.05</v>
      </c>
      <c r="D76" s="15"/>
    </row>
    <row r="77" spans="1:4" ht="24">
      <c r="A77" s="1" t="s">
        <v>11</v>
      </c>
      <c r="B77" s="11" t="s">
        <v>12</v>
      </c>
      <c r="C77" s="3">
        <v>234967.93</v>
      </c>
      <c r="D77" s="15"/>
    </row>
    <row r="78" spans="1:4" ht="24">
      <c r="A78" s="1" t="s">
        <v>13</v>
      </c>
      <c r="B78" s="11" t="s">
        <v>12</v>
      </c>
      <c r="C78" s="3">
        <v>10426178.27</v>
      </c>
      <c r="D78" s="15"/>
    </row>
    <row r="79" spans="1:4" ht="24">
      <c r="A79" s="1" t="s">
        <v>14</v>
      </c>
      <c r="B79" s="11" t="s">
        <v>12</v>
      </c>
      <c r="C79" s="3">
        <v>111015.77</v>
      </c>
      <c r="D79" s="15"/>
    </row>
    <row r="80" spans="1:4" ht="24">
      <c r="A80" s="1" t="s">
        <v>15</v>
      </c>
      <c r="B80" s="11" t="s">
        <v>16</v>
      </c>
      <c r="C80" s="3">
        <v>48000</v>
      </c>
      <c r="D80" s="15"/>
    </row>
    <row r="81" spans="1:4" ht="24">
      <c r="A81" s="1" t="s">
        <v>17</v>
      </c>
      <c r="B81" s="16"/>
      <c r="C81" s="3">
        <v>43203.03</v>
      </c>
      <c r="D81" s="15"/>
    </row>
    <row r="82" spans="1:4" ht="24">
      <c r="A82" s="1" t="s">
        <v>18</v>
      </c>
      <c r="B82" s="11" t="s">
        <v>19</v>
      </c>
      <c r="C82" s="3">
        <v>0</v>
      </c>
      <c r="D82" s="15"/>
    </row>
    <row r="83" spans="1:4" ht="24">
      <c r="A83" s="1" t="s">
        <v>20</v>
      </c>
      <c r="B83" s="16">
        <v>100</v>
      </c>
      <c r="C83" s="3">
        <v>259110</v>
      </c>
      <c r="D83" s="15"/>
    </row>
    <row r="84" spans="1:4" ht="24">
      <c r="A84" s="1" t="s">
        <v>21</v>
      </c>
      <c r="B84" s="16">
        <v>120</v>
      </c>
      <c r="C84" s="3">
        <v>21400</v>
      </c>
      <c r="D84" s="15"/>
    </row>
    <row r="85" spans="1:4" ht="24">
      <c r="A85" s="1" t="s">
        <v>22</v>
      </c>
      <c r="B85" s="16">
        <v>130</v>
      </c>
      <c r="C85" s="3">
        <v>6580</v>
      </c>
      <c r="D85" s="15"/>
    </row>
    <row r="86" spans="1:4" ht="24">
      <c r="A86" s="1" t="s">
        <v>23</v>
      </c>
      <c r="B86" s="16">
        <v>200</v>
      </c>
      <c r="C86" s="3">
        <v>13737</v>
      </c>
      <c r="D86" s="15"/>
    </row>
    <row r="87" spans="1:4" ht="24">
      <c r="A87" s="1" t="s">
        <v>24</v>
      </c>
      <c r="B87" s="16">
        <v>250</v>
      </c>
      <c r="C87" s="3">
        <v>8500</v>
      </c>
      <c r="D87" s="15"/>
    </row>
    <row r="88" spans="1:4" ht="24">
      <c r="A88" s="1" t="s">
        <v>25</v>
      </c>
      <c r="B88" s="16">
        <v>270</v>
      </c>
      <c r="C88" s="3">
        <v>0</v>
      </c>
      <c r="D88" s="15"/>
    </row>
    <row r="89" spans="1:4" ht="24">
      <c r="A89" s="1" t="s">
        <v>26</v>
      </c>
      <c r="B89" s="16">
        <v>300</v>
      </c>
      <c r="C89" s="3">
        <v>2232.9</v>
      </c>
      <c r="D89" s="15"/>
    </row>
    <row r="90" spans="1:7" ht="24">
      <c r="A90" s="1" t="s">
        <v>27</v>
      </c>
      <c r="B90" s="16">
        <v>400</v>
      </c>
      <c r="C90" s="14">
        <v>0</v>
      </c>
      <c r="D90" s="15"/>
      <c r="G90">
        <v>3</v>
      </c>
    </row>
    <row r="91" spans="1:4" ht="24">
      <c r="A91" s="1" t="s">
        <v>28</v>
      </c>
      <c r="B91" s="16">
        <v>450</v>
      </c>
      <c r="C91" s="14">
        <v>0</v>
      </c>
      <c r="D91" s="15"/>
    </row>
    <row r="92" spans="1:4" ht="24">
      <c r="A92" s="1" t="s">
        <v>29</v>
      </c>
      <c r="B92" s="16">
        <v>500</v>
      </c>
      <c r="C92" s="14">
        <v>0</v>
      </c>
      <c r="D92" s="15"/>
    </row>
    <row r="93" spans="1:4" ht="24">
      <c r="A93" s="1" t="s">
        <v>30</v>
      </c>
      <c r="B93" s="11">
        <v>550</v>
      </c>
      <c r="C93" s="14">
        <v>0</v>
      </c>
      <c r="D93" s="15"/>
    </row>
    <row r="94" spans="1:4" ht="24">
      <c r="A94" s="1" t="s">
        <v>31</v>
      </c>
      <c r="B94" s="16"/>
      <c r="C94" s="3"/>
      <c r="D94" s="15">
        <f>'หมายเหตุ 1'!H30</f>
        <v>384295.39</v>
      </c>
    </row>
    <row r="95" spans="1:4" ht="24">
      <c r="A95" s="17" t="s">
        <v>32</v>
      </c>
      <c r="B95" s="16"/>
      <c r="C95" s="3"/>
      <c r="D95" s="15">
        <f>'หมายเหตุ 2'!G10</f>
        <v>788481.75</v>
      </c>
    </row>
    <row r="96" spans="1:4" ht="24">
      <c r="A96" s="1" t="s">
        <v>33</v>
      </c>
      <c r="B96" s="16"/>
      <c r="C96" s="3"/>
      <c r="D96" s="15">
        <f>'หมายเหตุ 2'!G23</f>
        <v>0</v>
      </c>
    </row>
    <row r="97" spans="1:4" ht="24">
      <c r="A97" s="1" t="s">
        <v>34</v>
      </c>
      <c r="B97" s="16"/>
      <c r="C97" s="3"/>
      <c r="D97" s="15">
        <f>'หมายเหตุ 4'!I18</f>
        <v>159099.6200000001</v>
      </c>
    </row>
    <row r="98" spans="1:4" ht="24">
      <c r="A98" s="1" t="s">
        <v>188</v>
      </c>
      <c r="B98" s="16"/>
      <c r="C98" s="3"/>
      <c r="D98" s="15">
        <v>204500</v>
      </c>
    </row>
    <row r="99" spans="1:4" ht="24">
      <c r="A99" s="1" t="s">
        <v>189</v>
      </c>
      <c r="B99" s="16"/>
      <c r="C99" s="3"/>
      <c r="D99" s="15">
        <v>316600</v>
      </c>
    </row>
    <row r="100" spans="1:4" ht="24">
      <c r="A100" s="1" t="s">
        <v>190</v>
      </c>
      <c r="B100" s="16"/>
      <c r="C100" s="3"/>
      <c r="D100" s="15">
        <v>0</v>
      </c>
    </row>
    <row r="101" spans="1:4" ht="24">
      <c r="A101" s="1" t="s">
        <v>37</v>
      </c>
      <c r="B101" s="16"/>
      <c r="C101" s="3"/>
      <c r="D101" s="15">
        <v>3156462.21</v>
      </c>
    </row>
    <row r="102" spans="1:4" ht="24">
      <c r="A102" s="1" t="s">
        <v>38</v>
      </c>
      <c r="B102" s="16"/>
      <c r="C102" s="3"/>
      <c r="D102" s="15">
        <v>4121026.06</v>
      </c>
    </row>
    <row r="103" spans="1:4" ht="24.75" thickBot="1">
      <c r="A103" s="1"/>
      <c r="B103" s="16"/>
      <c r="C103" s="18">
        <f>SUM(C76:C102)</f>
        <v>11558261.95</v>
      </c>
      <c r="D103" s="18">
        <f>SUM(D94:D102)</f>
        <v>9130465.030000001</v>
      </c>
    </row>
    <row r="104" ht="3.75" customHeight="1" thickTop="1"/>
    <row r="105" spans="1:4" ht="23.25">
      <c r="A105" s="281" t="s">
        <v>0</v>
      </c>
      <c r="B105" s="281"/>
      <c r="C105" s="281"/>
      <c r="D105" s="281"/>
    </row>
    <row r="106" spans="1:4" ht="23.25">
      <c r="A106" s="281" t="s">
        <v>1</v>
      </c>
      <c r="B106" s="281"/>
      <c r="C106" s="281"/>
      <c r="D106" s="281"/>
    </row>
    <row r="107" spans="1:4" ht="23.25">
      <c r="A107" s="277" t="s">
        <v>195</v>
      </c>
      <c r="B107" s="277"/>
      <c r="C107" s="277"/>
      <c r="D107" s="277"/>
    </row>
    <row r="108" spans="1:4" ht="24">
      <c r="A108" s="4" t="s">
        <v>2</v>
      </c>
      <c r="B108" s="5" t="s">
        <v>3</v>
      </c>
      <c r="C108" s="6" t="s">
        <v>4</v>
      </c>
      <c r="D108" s="6" t="s">
        <v>5</v>
      </c>
    </row>
    <row r="109" spans="1:4" ht="24">
      <c r="A109" s="7"/>
      <c r="B109" s="8" t="s">
        <v>6</v>
      </c>
      <c r="C109" s="9"/>
      <c r="D109" s="9"/>
    </row>
    <row r="110" spans="1:4" ht="24">
      <c r="A110" s="1" t="s">
        <v>9</v>
      </c>
      <c r="B110" s="11" t="s">
        <v>10</v>
      </c>
      <c r="C110" s="14">
        <v>0</v>
      </c>
      <c r="D110" s="15"/>
    </row>
    <row r="111" spans="1:4" ht="24">
      <c r="A111" s="1" t="s">
        <v>11</v>
      </c>
      <c r="B111" s="11" t="s">
        <v>12</v>
      </c>
      <c r="C111" s="3">
        <v>69598.93</v>
      </c>
      <c r="D111" s="15"/>
    </row>
    <row r="112" spans="1:4" ht="24">
      <c r="A112" s="1" t="s">
        <v>13</v>
      </c>
      <c r="B112" s="11" t="s">
        <v>12</v>
      </c>
      <c r="C112" s="3">
        <v>11622322.61</v>
      </c>
      <c r="D112" s="15"/>
    </row>
    <row r="113" spans="1:4" ht="24">
      <c r="A113" s="1" t="s">
        <v>14</v>
      </c>
      <c r="B113" s="11" t="s">
        <v>12</v>
      </c>
      <c r="C113" s="3">
        <v>117367.14</v>
      </c>
      <c r="D113" s="15"/>
    </row>
    <row r="114" spans="1:4" ht="24">
      <c r="A114" s="1" t="s">
        <v>111</v>
      </c>
      <c r="B114" s="11" t="s">
        <v>16</v>
      </c>
      <c r="C114" s="3">
        <v>40000</v>
      </c>
      <c r="D114" s="15"/>
    </row>
    <row r="115" spans="1:4" ht="24">
      <c r="A115" s="1" t="s">
        <v>112</v>
      </c>
      <c r="B115" s="11"/>
      <c r="C115" s="3">
        <v>12620</v>
      </c>
      <c r="D115" s="15"/>
    </row>
    <row r="116" spans="1:4" ht="24">
      <c r="A116" s="1" t="s">
        <v>17</v>
      </c>
      <c r="B116" s="16"/>
      <c r="C116" s="3">
        <v>43203.03</v>
      </c>
      <c r="D116" s="15"/>
    </row>
    <row r="117" spans="1:7" ht="24">
      <c r="A117" s="1" t="s">
        <v>18</v>
      </c>
      <c r="B117" s="11" t="s">
        <v>19</v>
      </c>
      <c r="C117" s="3">
        <v>21658</v>
      </c>
      <c r="D117" s="15"/>
      <c r="G117">
        <v>4</v>
      </c>
    </row>
    <row r="118" spans="1:4" ht="24">
      <c r="A118" s="1" t="s">
        <v>20</v>
      </c>
      <c r="B118" s="16">
        <v>100</v>
      </c>
      <c r="C118" s="3">
        <v>518220</v>
      </c>
      <c r="D118" s="15"/>
    </row>
    <row r="119" spans="1:4" ht="24">
      <c r="A119" s="1" t="s">
        <v>21</v>
      </c>
      <c r="B119" s="16">
        <v>120</v>
      </c>
      <c r="C119" s="3">
        <v>42800</v>
      </c>
      <c r="D119" s="15"/>
    </row>
    <row r="120" spans="1:4" ht="24">
      <c r="A120" s="1" t="s">
        <v>22</v>
      </c>
      <c r="B120" s="16">
        <v>130</v>
      </c>
      <c r="C120" s="3">
        <v>16669</v>
      </c>
      <c r="D120" s="15"/>
    </row>
    <row r="121" spans="1:4" ht="24">
      <c r="A121" s="1" t="s">
        <v>23</v>
      </c>
      <c r="B121" s="16">
        <v>200</v>
      </c>
      <c r="C121" s="3">
        <v>43292</v>
      </c>
      <c r="D121" s="15"/>
    </row>
    <row r="122" spans="1:4" ht="24">
      <c r="A122" s="1" t="s">
        <v>24</v>
      </c>
      <c r="B122" s="16">
        <v>250</v>
      </c>
      <c r="C122" s="3">
        <v>108120</v>
      </c>
      <c r="D122" s="15"/>
    </row>
    <row r="123" spans="1:4" ht="24">
      <c r="A123" s="1" t="s">
        <v>25</v>
      </c>
      <c r="B123" s="16">
        <v>270</v>
      </c>
      <c r="C123" s="3">
        <v>16142.87</v>
      </c>
      <c r="D123" s="15"/>
    </row>
    <row r="124" spans="1:4" ht="24">
      <c r="A124" s="1" t="s">
        <v>26</v>
      </c>
      <c r="B124" s="16">
        <v>300</v>
      </c>
      <c r="C124" s="3">
        <v>10402</v>
      </c>
      <c r="D124" s="15"/>
    </row>
    <row r="125" spans="1:4" ht="24">
      <c r="A125" s="1" t="s">
        <v>27</v>
      </c>
      <c r="B125" s="16">
        <v>400</v>
      </c>
      <c r="C125" s="14">
        <v>5000</v>
      </c>
      <c r="D125" s="15"/>
    </row>
    <row r="126" spans="1:4" ht="24">
      <c r="A126" s="1" t="s">
        <v>28</v>
      </c>
      <c r="B126" s="16">
        <v>450</v>
      </c>
      <c r="C126" s="14">
        <v>0</v>
      </c>
      <c r="D126" s="15"/>
    </row>
    <row r="127" spans="1:4" ht="24">
      <c r="A127" s="1" t="s">
        <v>29</v>
      </c>
      <c r="B127" s="16">
        <v>500</v>
      </c>
      <c r="C127" s="14">
        <v>0</v>
      </c>
      <c r="D127" s="15"/>
    </row>
    <row r="128" spans="1:4" ht="24">
      <c r="A128" s="1" t="s">
        <v>31</v>
      </c>
      <c r="B128" s="16"/>
      <c r="C128" s="3"/>
      <c r="D128" s="15">
        <f>'หมายเหตุ 1'!H65</f>
        <v>578322.8700000001</v>
      </c>
    </row>
    <row r="129" spans="1:4" ht="24">
      <c r="A129" s="17" t="s">
        <v>32</v>
      </c>
      <c r="B129" s="16"/>
      <c r="C129" s="3"/>
      <c r="D129" s="15">
        <f>'หมายเหตุ 2'!G10</f>
        <v>788481.75</v>
      </c>
    </row>
    <row r="130" spans="1:4" ht="24">
      <c r="A130" s="1" t="s">
        <v>33</v>
      </c>
      <c r="B130" s="16"/>
      <c r="C130" s="3"/>
      <c r="D130" s="15">
        <f>'หมายเหตุ 2'!G23</f>
        <v>0</v>
      </c>
    </row>
    <row r="131" spans="1:4" ht="24">
      <c r="A131" s="1" t="s">
        <v>34</v>
      </c>
      <c r="B131" s="16"/>
      <c r="C131" s="3"/>
      <c r="D131" s="15">
        <f>'หมายเหตุ 4'!I18</f>
        <v>159099.6200000001</v>
      </c>
    </row>
    <row r="132" spans="1:4" ht="24">
      <c r="A132" s="1" t="s">
        <v>188</v>
      </c>
      <c r="B132" s="16"/>
      <c r="C132" s="3"/>
      <c r="D132" s="15">
        <v>204500</v>
      </c>
    </row>
    <row r="133" spans="1:4" ht="24">
      <c r="A133" s="1" t="s">
        <v>189</v>
      </c>
      <c r="B133" s="16"/>
      <c r="C133" s="3"/>
      <c r="D133" s="15">
        <v>316600</v>
      </c>
    </row>
    <row r="134" spans="1:4" ht="24">
      <c r="A134" s="1" t="s">
        <v>190</v>
      </c>
      <c r="B134" s="16"/>
      <c r="C134" s="3"/>
      <c r="D134" s="15">
        <f>หมายเหตุ6!J19</f>
        <v>24234</v>
      </c>
    </row>
    <row r="135" spans="1:4" ht="24">
      <c r="A135" s="1" t="s">
        <v>37</v>
      </c>
      <c r="B135" s="16"/>
      <c r="C135" s="3"/>
      <c r="D135" s="15">
        <v>3156462.21</v>
      </c>
    </row>
    <row r="136" spans="1:4" ht="24">
      <c r="A136" s="1" t="s">
        <v>38</v>
      </c>
      <c r="B136" s="16"/>
      <c r="C136" s="3"/>
      <c r="D136" s="15">
        <v>4121026.06</v>
      </c>
    </row>
    <row r="137" spans="1:4" ht="24.75" thickBot="1">
      <c r="A137" s="1"/>
      <c r="B137" s="16"/>
      <c r="C137" s="18">
        <f>SUM(C110:C136)</f>
        <v>12687415.579999998</v>
      </c>
      <c r="D137" s="18">
        <f>SUM(D128:D136)</f>
        <v>9348726.51</v>
      </c>
    </row>
    <row r="138" spans="1:4" ht="24.75" thickTop="1">
      <c r="A138" s="1"/>
      <c r="B138" s="92"/>
      <c r="C138" s="93"/>
      <c r="D138" s="93"/>
    </row>
    <row r="139" spans="1:4" ht="24">
      <c r="A139" s="1"/>
      <c r="B139" s="92"/>
      <c r="C139" s="93"/>
      <c r="D139" s="93"/>
    </row>
    <row r="140" spans="1:4" ht="23.25">
      <c r="A140" s="281" t="s">
        <v>0</v>
      </c>
      <c r="B140" s="281"/>
      <c r="C140" s="281"/>
      <c r="D140" s="281"/>
    </row>
    <row r="141" spans="1:4" ht="23.25">
      <c r="A141" s="281" t="s">
        <v>1</v>
      </c>
      <c r="B141" s="281"/>
      <c r="C141" s="281"/>
      <c r="D141" s="281"/>
    </row>
    <row r="142" spans="1:4" ht="23.25">
      <c r="A142" s="277" t="s">
        <v>203</v>
      </c>
      <c r="B142" s="277"/>
      <c r="C142" s="277"/>
      <c r="D142" s="277"/>
    </row>
    <row r="143" spans="1:4" ht="24">
      <c r="A143" s="4" t="s">
        <v>2</v>
      </c>
      <c r="B143" s="5" t="s">
        <v>3</v>
      </c>
      <c r="C143" s="6" t="s">
        <v>4</v>
      </c>
      <c r="D143" s="6" t="s">
        <v>5</v>
      </c>
    </row>
    <row r="144" spans="1:4" ht="24">
      <c r="A144" s="7"/>
      <c r="B144" s="8" t="s">
        <v>6</v>
      </c>
      <c r="C144" s="9"/>
      <c r="D144" s="9"/>
    </row>
    <row r="145" spans="1:4" ht="24">
      <c r="A145" s="1" t="s">
        <v>9</v>
      </c>
      <c r="B145" s="11" t="s">
        <v>10</v>
      </c>
      <c r="C145" s="14">
        <v>0</v>
      </c>
      <c r="D145" s="15"/>
    </row>
    <row r="146" spans="1:4" ht="24">
      <c r="A146" s="1" t="s">
        <v>11</v>
      </c>
      <c r="B146" s="11" t="s">
        <v>12</v>
      </c>
      <c r="C146" s="3">
        <v>4279477.18</v>
      </c>
      <c r="D146" s="15"/>
    </row>
    <row r="147" spans="1:4" ht="24">
      <c r="A147" s="1" t="s">
        <v>13</v>
      </c>
      <c r="B147" s="11" t="s">
        <v>12</v>
      </c>
      <c r="C147" s="3">
        <v>7105070.89</v>
      </c>
      <c r="D147" s="15"/>
    </row>
    <row r="148" spans="1:4" ht="24">
      <c r="A148" s="1" t="s">
        <v>14</v>
      </c>
      <c r="B148" s="11" t="s">
        <v>12</v>
      </c>
      <c r="C148" s="3">
        <v>143400.02</v>
      </c>
      <c r="D148" s="15"/>
    </row>
    <row r="149" spans="1:4" ht="24">
      <c r="A149" s="1" t="s">
        <v>15</v>
      </c>
      <c r="B149" s="11"/>
      <c r="C149" s="3">
        <v>85800</v>
      </c>
      <c r="D149" s="15"/>
    </row>
    <row r="150" spans="1:4" ht="24">
      <c r="A150" s="1" t="s">
        <v>112</v>
      </c>
      <c r="B150" s="11"/>
      <c r="C150" s="3">
        <v>8556</v>
      </c>
      <c r="D150" s="15"/>
    </row>
    <row r="151" spans="1:4" ht="24">
      <c r="A151" s="1" t="s">
        <v>111</v>
      </c>
      <c r="B151" s="11"/>
      <c r="C151" s="3">
        <v>40000</v>
      </c>
      <c r="D151" s="15"/>
    </row>
    <row r="152" spans="1:4" ht="24">
      <c r="A152" s="1" t="s">
        <v>17</v>
      </c>
      <c r="B152" s="16"/>
      <c r="C152" s="3">
        <v>43203.03</v>
      </c>
      <c r="D152" s="15"/>
    </row>
    <row r="153" spans="1:4" ht="24">
      <c r="A153" s="1" t="s">
        <v>18</v>
      </c>
      <c r="B153" s="11" t="s">
        <v>19</v>
      </c>
      <c r="C153" s="3">
        <v>121167</v>
      </c>
      <c r="D153" s="15"/>
    </row>
    <row r="154" spans="1:4" ht="24">
      <c r="A154" s="1" t="s">
        <v>20</v>
      </c>
      <c r="B154" s="16">
        <v>100</v>
      </c>
      <c r="C154" s="3">
        <v>777330</v>
      </c>
      <c r="D154" s="15"/>
    </row>
    <row r="155" spans="1:4" ht="24">
      <c r="A155" s="1" t="s">
        <v>21</v>
      </c>
      <c r="B155" s="16">
        <v>120</v>
      </c>
      <c r="C155" s="3">
        <v>64200</v>
      </c>
      <c r="D155" s="15"/>
    </row>
    <row r="156" spans="1:4" ht="24">
      <c r="A156" s="1" t="s">
        <v>22</v>
      </c>
      <c r="B156" s="16">
        <v>130</v>
      </c>
      <c r="C156" s="3">
        <v>53519</v>
      </c>
      <c r="D156" s="15"/>
    </row>
    <row r="157" spans="1:4" ht="24">
      <c r="A157" s="1" t="s">
        <v>23</v>
      </c>
      <c r="B157" s="16">
        <v>200</v>
      </c>
      <c r="C157" s="3">
        <v>76245</v>
      </c>
      <c r="D157" s="15"/>
    </row>
    <row r="158" spans="1:4" ht="24">
      <c r="A158" s="1" t="s">
        <v>24</v>
      </c>
      <c r="B158" s="16">
        <v>250</v>
      </c>
      <c r="C158" s="3">
        <v>190030</v>
      </c>
      <c r="D158" s="15"/>
    </row>
    <row r="159" spans="1:4" ht="24">
      <c r="A159" s="1" t="s">
        <v>25</v>
      </c>
      <c r="B159" s="16">
        <v>270</v>
      </c>
      <c r="C159" s="3">
        <v>46692.33</v>
      </c>
      <c r="D159" s="15"/>
    </row>
    <row r="160" spans="1:4" ht="24">
      <c r="A160" s="1" t="s">
        <v>26</v>
      </c>
      <c r="B160" s="16">
        <v>300</v>
      </c>
      <c r="C160" s="3">
        <v>18364.11</v>
      </c>
      <c r="D160" s="15"/>
    </row>
    <row r="161" spans="1:4" ht="24">
      <c r="A161" s="1" t="s">
        <v>27</v>
      </c>
      <c r="B161" s="16">
        <v>400</v>
      </c>
      <c r="C161" s="14">
        <v>5000</v>
      </c>
      <c r="D161" s="15"/>
    </row>
    <row r="162" spans="1:4" ht="24">
      <c r="A162" s="1" t="s">
        <v>28</v>
      </c>
      <c r="B162" s="16">
        <v>450</v>
      </c>
      <c r="C162" s="14">
        <v>0</v>
      </c>
      <c r="D162" s="15"/>
    </row>
    <row r="163" spans="1:7" ht="24">
      <c r="A163" s="1" t="s">
        <v>31</v>
      </c>
      <c r="B163" s="16"/>
      <c r="C163" s="3"/>
      <c r="D163" s="15">
        <f>'หมายเหตุ 1'!H102</f>
        <v>6172105.82</v>
      </c>
      <c r="G163">
        <v>5</v>
      </c>
    </row>
    <row r="164" spans="1:4" ht="24">
      <c r="A164" s="17" t="s">
        <v>32</v>
      </c>
      <c r="B164" s="16"/>
      <c r="C164" s="3"/>
      <c r="D164" s="15">
        <f>'หมายเหตุ 2'!G10</f>
        <v>788481.75</v>
      </c>
    </row>
    <row r="165" spans="1:4" ht="24">
      <c r="A165" s="1" t="s">
        <v>33</v>
      </c>
      <c r="B165" s="16"/>
      <c r="C165" s="3"/>
      <c r="D165" s="15">
        <f>'หมายเหตุ 2'!G23</f>
        <v>0</v>
      </c>
    </row>
    <row r="166" spans="1:4" ht="24">
      <c r="A166" s="1" t="s">
        <v>34</v>
      </c>
      <c r="B166" s="16"/>
      <c r="C166" s="3"/>
      <c r="D166" s="15">
        <f>'หมายเหตุ 4'!I18</f>
        <v>159099.6200000001</v>
      </c>
    </row>
    <row r="167" spans="1:4" ht="24">
      <c r="A167" s="1" t="s">
        <v>188</v>
      </c>
      <c r="B167" s="16"/>
      <c r="C167" s="3"/>
      <c r="D167" s="15">
        <f>'หมายเหตุ 4'!I25</f>
        <v>204500</v>
      </c>
    </row>
    <row r="168" spans="1:4" ht="24">
      <c r="A168" s="1" t="s">
        <v>189</v>
      </c>
      <c r="B168" s="16"/>
      <c r="C168" s="3"/>
      <c r="D168" s="15">
        <f>'หมายเหตุ 4'!I34</f>
        <v>0</v>
      </c>
    </row>
    <row r="169" spans="1:4" ht="24">
      <c r="A169" s="1" t="s">
        <v>190</v>
      </c>
      <c r="B169" s="16"/>
      <c r="C169" s="3"/>
      <c r="D169" s="15">
        <f>หมายเหตุ6!J19</f>
        <v>24234</v>
      </c>
    </row>
    <row r="170" spans="1:4" ht="24">
      <c r="A170" s="1" t="s">
        <v>37</v>
      </c>
      <c r="B170" s="16"/>
      <c r="C170" s="3"/>
      <c r="D170" s="15">
        <v>2744462.21</v>
      </c>
    </row>
    <row r="171" spans="1:4" ht="24">
      <c r="A171" s="1" t="s">
        <v>38</v>
      </c>
      <c r="B171" s="16"/>
      <c r="C171" s="3"/>
      <c r="D171" s="15">
        <v>4121026.06</v>
      </c>
    </row>
    <row r="172" spans="1:4" ht="24.75" thickBot="1">
      <c r="A172" s="1"/>
      <c r="B172" s="16"/>
      <c r="C172" s="18">
        <f>SUM(C145:C171)</f>
        <v>13058054.559999999</v>
      </c>
      <c r="D172" s="18">
        <f>SUM(D163:D171)</f>
        <v>14213909.46</v>
      </c>
    </row>
    <row r="173" spans="1:4" ht="24" thickTop="1">
      <c r="A173" s="281" t="s">
        <v>0</v>
      </c>
      <c r="B173" s="281"/>
      <c r="C173" s="281"/>
      <c r="D173" s="281"/>
    </row>
    <row r="174" spans="1:4" ht="23.25">
      <c r="A174" s="281" t="s">
        <v>1</v>
      </c>
      <c r="B174" s="281"/>
      <c r="C174" s="281"/>
      <c r="D174" s="281"/>
    </row>
    <row r="175" spans="1:4" ht="23.25">
      <c r="A175" s="277" t="s">
        <v>209</v>
      </c>
      <c r="B175" s="277"/>
      <c r="C175" s="277"/>
      <c r="D175" s="277"/>
    </row>
    <row r="176" spans="1:4" ht="24">
      <c r="A176" s="4" t="s">
        <v>2</v>
      </c>
      <c r="B176" s="5" t="s">
        <v>3</v>
      </c>
      <c r="C176" s="6" t="s">
        <v>4</v>
      </c>
      <c r="D176" s="6" t="s">
        <v>5</v>
      </c>
    </row>
    <row r="177" spans="1:4" ht="24">
      <c r="A177" s="7"/>
      <c r="B177" s="8" t="s">
        <v>6</v>
      </c>
      <c r="C177" s="9"/>
      <c r="D177" s="9"/>
    </row>
    <row r="178" spans="1:4" ht="24">
      <c r="A178" s="1" t="s">
        <v>9</v>
      </c>
      <c r="B178" s="11" t="s">
        <v>10</v>
      </c>
      <c r="C178" s="14">
        <v>408140.58</v>
      </c>
      <c r="D178" s="15"/>
    </row>
    <row r="179" spans="1:4" ht="24">
      <c r="A179" s="1" t="s">
        <v>11</v>
      </c>
      <c r="B179" s="11" t="s">
        <v>12</v>
      </c>
      <c r="C179" s="3">
        <v>4075444.37</v>
      </c>
      <c r="D179" s="15"/>
    </row>
    <row r="180" spans="1:4" ht="24">
      <c r="A180" s="1" t="s">
        <v>13</v>
      </c>
      <c r="B180" s="11" t="s">
        <v>12</v>
      </c>
      <c r="C180" s="3">
        <v>9080860.73</v>
      </c>
      <c r="D180" s="15"/>
    </row>
    <row r="181" spans="1:4" ht="24">
      <c r="A181" s="1" t="s">
        <v>14</v>
      </c>
      <c r="B181" s="11" t="s">
        <v>12</v>
      </c>
      <c r="C181" s="3">
        <v>157400.02</v>
      </c>
      <c r="D181" s="15"/>
    </row>
    <row r="182" spans="1:4" ht="24">
      <c r="A182" s="1" t="s">
        <v>112</v>
      </c>
      <c r="B182" s="11"/>
      <c r="C182" s="3">
        <v>2400</v>
      </c>
      <c r="D182" s="15"/>
    </row>
    <row r="183" spans="1:4" ht="24">
      <c r="A183" s="1" t="s">
        <v>111</v>
      </c>
      <c r="B183" s="11"/>
      <c r="C183" s="3">
        <v>40000</v>
      </c>
      <c r="D183" s="15"/>
    </row>
    <row r="184" spans="1:4" ht="24">
      <c r="A184" s="1" t="s">
        <v>17</v>
      </c>
      <c r="B184" s="16"/>
      <c r="C184" s="3">
        <v>43203.03</v>
      </c>
      <c r="D184" s="15"/>
    </row>
    <row r="185" spans="1:7" ht="24">
      <c r="A185" s="1" t="s">
        <v>18</v>
      </c>
      <c r="B185" s="11" t="s">
        <v>19</v>
      </c>
      <c r="C185" s="3">
        <v>188583</v>
      </c>
      <c r="D185" s="15"/>
      <c r="G185">
        <v>6</v>
      </c>
    </row>
    <row r="186" spans="1:4" ht="24">
      <c r="A186" s="1" t="s">
        <v>20</v>
      </c>
      <c r="B186" s="16">
        <v>100</v>
      </c>
      <c r="C186" s="3">
        <v>1065050</v>
      </c>
      <c r="D186" s="15"/>
    </row>
    <row r="187" spans="1:4" ht="24">
      <c r="A187" s="1" t="s">
        <v>21</v>
      </c>
      <c r="B187" s="16">
        <v>120</v>
      </c>
      <c r="C187" s="3">
        <v>85600</v>
      </c>
      <c r="D187" s="15"/>
    </row>
    <row r="188" spans="1:4" ht="24">
      <c r="A188" s="1" t="s">
        <v>22</v>
      </c>
      <c r="B188" s="16">
        <v>130</v>
      </c>
      <c r="C188" s="3">
        <v>86349</v>
      </c>
      <c r="D188" s="15"/>
    </row>
    <row r="189" spans="1:4" ht="24">
      <c r="A189" s="1" t="s">
        <v>23</v>
      </c>
      <c r="B189" s="16">
        <v>200</v>
      </c>
      <c r="C189" s="3">
        <v>138420</v>
      </c>
      <c r="D189" s="15"/>
    </row>
    <row r="190" spans="1:4" ht="24">
      <c r="A190" s="1" t="s">
        <v>24</v>
      </c>
      <c r="B190" s="16">
        <v>250</v>
      </c>
      <c r="C190" s="3">
        <v>461786</v>
      </c>
      <c r="D190" s="15"/>
    </row>
    <row r="191" spans="1:4" ht="24">
      <c r="A191" s="1" t="s">
        <v>25</v>
      </c>
      <c r="B191" s="16">
        <v>270</v>
      </c>
      <c r="C191" s="3">
        <v>54766.99</v>
      </c>
      <c r="D191" s="15"/>
    </row>
    <row r="192" spans="1:4" ht="24">
      <c r="A192" s="1" t="s">
        <v>26</v>
      </c>
      <c r="B192" s="16">
        <v>300</v>
      </c>
      <c r="C192" s="3">
        <v>26857.35</v>
      </c>
      <c r="D192" s="15"/>
    </row>
    <row r="193" spans="1:4" ht="24">
      <c r="A193" s="1" t="s">
        <v>27</v>
      </c>
      <c r="B193" s="16">
        <v>400</v>
      </c>
      <c r="C193" s="14">
        <v>608200</v>
      </c>
      <c r="D193" s="15"/>
    </row>
    <row r="194" spans="1:4" ht="24">
      <c r="A194" s="1" t="s">
        <v>28</v>
      </c>
      <c r="B194" s="16">
        <v>450</v>
      </c>
      <c r="C194" s="14">
        <v>0</v>
      </c>
      <c r="D194" s="15"/>
    </row>
    <row r="195" spans="1:4" ht="24">
      <c r="A195" s="1" t="s">
        <v>30</v>
      </c>
      <c r="B195" s="11">
        <v>550</v>
      </c>
      <c r="C195" s="14">
        <v>0</v>
      </c>
      <c r="D195" s="15"/>
    </row>
    <row r="196" spans="1:4" ht="24">
      <c r="A196" s="1" t="s">
        <v>31</v>
      </c>
      <c r="B196" s="16"/>
      <c r="C196" s="3"/>
      <c r="D196" s="15">
        <f>'หมายเหตุ 1'!H102</f>
        <v>6172105.82</v>
      </c>
    </row>
    <row r="197" spans="1:4" ht="24">
      <c r="A197" s="17" t="s">
        <v>32</v>
      </c>
      <c r="B197" s="16"/>
      <c r="C197" s="3"/>
      <c r="D197" s="15">
        <f>'หมายเหตุ 2'!G10</f>
        <v>788481.75</v>
      </c>
    </row>
    <row r="198" spans="1:4" ht="24">
      <c r="A198" s="1" t="s">
        <v>33</v>
      </c>
      <c r="B198" s="16"/>
      <c r="C198" s="3"/>
      <c r="D198" s="15">
        <f>'หมายเหตุ 2'!G57</f>
        <v>0</v>
      </c>
    </row>
    <row r="199" spans="1:4" ht="24">
      <c r="A199" s="1" t="s">
        <v>34</v>
      </c>
      <c r="B199" s="16"/>
      <c r="C199" s="3"/>
      <c r="D199" s="15">
        <f>'หมายเหตุ 4'!I18</f>
        <v>159099.6200000001</v>
      </c>
    </row>
    <row r="200" spans="1:4" ht="24">
      <c r="A200" s="1" t="s">
        <v>188</v>
      </c>
      <c r="B200" s="16"/>
      <c r="C200" s="3"/>
      <c r="D200" s="15">
        <f>'หมายเหตุ 4'!I25</f>
        <v>204500</v>
      </c>
    </row>
    <row r="201" spans="1:4" ht="24">
      <c r="A201" s="1" t="s">
        <v>189</v>
      </c>
      <c r="B201" s="16"/>
      <c r="C201" s="3"/>
      <c r="D201" s="15">
        <f>'หมายเหตุ 4'!I34</f>
        <v>0</v>
      </c>
    </row>
    <row r="202" spans="1:7" ht="24">
      <c r="A202" s="1" t="s">
        <v>190</v>
      </c>
      <c r="B202" s="16"/>
      <c r="C202" s="3"/>
      <c r="D202" s="15">
        <f>หมายเหตุ6!J19</f>
        <v>24234</v>
      </c>
      <c r="G202" s="83">
        <f>C205-D205</f>
        <v>2309151.6099999975</v>
      </c>
    </row>
    <row r="203" spans="1:4" ht="24">
      <c r="A203" s="1" t="s">
        <v>37</v>
      </c>
      <c r="B203" s="16"/>
      <c r="C203" s="3"/>
      <c r="D203" s="15">
        <v>2744462.21</v>
      </c>
    </row>
    <row r="204" spans="1:4" ht="24">
      <c r="A204" s="1" t="s">
        <v>38</v>
      </c>
      <c r="B204" s="16"/>
      <c r="C204" s="3"/>
      <c r="D204" s="15">
        <v>4121026.06</v>
      </c>
    </row>
    <row r="205" spans="1:4" ht="24.75" thickBot="1">
      <c r="A205" s="1"/>
      <c r="B205" s="16"/>
      <c r="C205" s="18">
        <f>SUM(C178:C204)</f>
        <v>16523061.069999998</v>
      </c>
      <c r="D205" s="18">
        <f>SUM(D196:D204)</f>
        <v>14213909.46</v>
      </c>
    </row>
    <row r="206" spans="1:4" ht="24.75" thickTop="1">
      <c r="A206" s="1"/>
      <c r="B206" s="92"/>
      <c r="C206" s="93"/>
      <c r="D206" s="93"/>
    </row>
    <row r="208" spans="1:4" ht="23.25">
      <c r="A208" s="281" t="s">
        <v>0</v>
      </c>
      <c r="B208" s="281"/>
      <c r="C208" s="281"/>
      <c r="D208" s="281"/>
    </row>
    <row r="209" spans="1:4" ht="23.25">
      <c r="A209" s="281" t="s">
        <v>1</v>
      </c>
      <c r="B209" s="281"/>
      <c r="C209" s="281"/>
      <c r="D209" s="281"/>
    </row>
    <row r="210" spans="1:4" ht="23.25">
      <c r="A210" s="277" t="s">
        <v>211</v>
      </c>
      <c r="B210" s="277"/>
      <c r="C210" s="277"/>
      <c r="D210" s="277"/>
    </row>
    <row r="211" spans="1:4" ht="24">
      <c r="A211" s="4" t="s">
        <v>2</v>
      </c>
      <c r="B211" s="5" t="s">
        <v>3</v>
      </c>
      <c r="C211" s="6" t="s">
        <v>4</v>
      </c>
      <c r="D211" s="6" t="s">
        <v>5</v>
      </c>
    </row>
    <row r="212" spans="1:4" ht="24">
      <c r="A212" s="7"/>
      <c r="B212" s="8" t="s">
        <v>6</v>
      </c>
      <c r="C212" s="9"/>
      <c r="D212" s="9"/>
    </row>
    <row r="213" spans="1:4" ht="24">
      <c r="A213" s="1" t="s">
        <v>9</v>
      </c>
      <c r="B213" s="11" t="s">
        <v>10</v>
      </c>
      <c r="C213" s="14">
        <v>167767.86</v>
      </c>
      <c r="D213" s="15"/>
    </row>
    <row r="214" spans="1:7" ht="24">
      <c r="A214" s="1" t="s">
        <v>11</v>
      </c>
      <c r="B214" s="11" t="s">
        <v>12</v>
      </c>
      <c r="C214" s="3">
        <v>4326484.95</v>
      </c>
      <c r="D214" s="15"/>
      <c r="G214">
        <v>7</v>
      </c>
    </row>
    <row r="215" spans="1:4" ht="24">
      <c r="A215" s="1" t="s">
        <v>13</v>
      </c>
      <c r="B215" s="11" t="s">
        <v>12</v>
      </c>
      <c r="C215" s="3">
        <v>12171069.88</v>
      </c>
      <c r="D215" s="15"/>
    </row>
    <row r="216" spans="1:4" ht="24">
      <c r="A216" s="1" t="s">
        <v>14</v>
      </c>
      <c r="B216" s="11" t="s">
        <v>12</v>
      </c>
      <c r="C216" s="3">
        <v>160400.02</v>
      </c>
      <c r="D216" s="15"/>
    </row>
    <row r="217" spans="1:4" ht="24">
      <c r="A217" s="1" t="s">
        <v>112</v>
      </c>
      <c r="B217" s="11"/>
      <c r="C217" s="3">
        <v>12190</v>
      </c>
      <c r="D217" s="15"/>
    </row>
    <row r="218" spans="1:4" ht="24">
      <c r="A218" s="1" t="s">
        <v>17</v>
      </c>
      <c r="B218" s="16"/>
      <c r="C218" s="3">
        <v>43203.03</v>
      </c>
      <c r="D218" s="15"/>
    </row>
    <row r="219" spans="1:4" ht="24">
      <c r="A219" s="1" t="s">
        <v>18</v>
      </c>
      <c r="B219" s="11" t="s">
        <v>19</v>
      </c>
      <c r="C219" s="3">
        <v>733941</v>
      </c>
      <c r="D219" s="15"/>
    </row>
    <row r="220" spans="1:4" ht="24">
      <c r="A220" s="1" t="s">
        <v>20</v>
      </c>
      <c r="B220" s="16">
        <v>100</v>
      </c>
      <c r="C220" s="3">
        <v>1352770</v>
      </c>
      <c r="D220" s="15"/>
    </row>
    <row r="221" spans="1:4" ht="24">
      <c r="A221" s="1" t="s">
        <v>21</v>
      </c>
      <c r="B221" s="16">
        <v>120</v>
      </c>
      <c r="C221" s="3">
        <v>107000</v>
      </c>
      <c r="D221" s="15"/>
    </row>
    <row r="222" spans="1:4" ht="24">
      <c r="A222" s="1" t="s">
        <v>22</v>
      </c>
      <c r="B222" s="16">
        <v>130</v>
      </c>
      <c r="C222" s="3">
        <v>119179</v>
      </c>
      <c r="D222" s="15"/>
    </row>
    <row r="223" spans="1:4" ht="24">
      <c r="A223" s="1" t="s">
        <v>23</v>
      </c>
      <c r="B223" s="16">
        <v>200</v>
      </c>
      <c r="C223" s="3">
        <v>163596</v>
      </c>
      <c r="D223" s="15"/>
    </row>
    <row r="224" spans="1:4" ht="24">
      <c r="A224" s="1" t="s">
        <v>24</v>
      </c>
      <c r="B224" s="16">
        <v>250</v>
      </c>
      <c r="C224" s="3">
        <v>505114</v>
      </c>
      <c r="D224" s="15"/>
    </row>
    <row r="225" spans="1:4" ht="24">
      <c r="A225" s="1" t="s">
        <v>25</v>
      </c>
      <c r="B225" s="16">
        <v>270</v>
      </c>
      <c r="C225" s="3">
        <v>62382.33</v>
      </c>
      <c r="D225" s="15"/>
    </row>
    <row r="226" spans="1:4" ht="24">
      <c r="A226" s="1" t="s">
        <v>26</v>
      </c>
      <c r="B226" s="16">
        <v>300</v>
      </c>
      <c r="C226" s="3">
        <v>31963.46</v>
      </c>
      <c r="D226" s="15"/>
    </row>
    <row r="227" spans="1:4" ht="24">
      <c r="A227" s="1" t="s">
        <v>27</v>
      </c>
      <c r="B227" s="16">
        <v>400</v>
      </c>
      <c r="C227" s="14">
        <v>611200</v>
      </c>
      <c r="D227" s="15"/>
    </row>
    <row r="228" spans="1:4" ht="24">
      <c r="A228" s="1" t="s">
        <v>28</v>
      </c>
      <c r="B228" s="16">
        <v>450</v>
      </c>
      <c r="C228" s="14">
        <v>0</v>
      </c>
      <c r="D228" s="15"/>
    </row>
    <row r="229" spans="1:4" ht="24">
      <c r="A229" s="1" t="s">
        <v>30</v>
      </c>
      <c r="B229" s="11">
        <v>550</v>
      </c>
      <c r="C229" s="14">
        <v>0</v>
      </c>
      <c r="D229" s="15"/>
    </row>
    <row r="230" spans="1:4" ht="24">
      <c r="A230" s="1" t="s">
        <v>31</v>
      </c>
      <c r="B230" s="16"/>
      <c r="C230" s="3"/>
      <c r="D230" s="15">
        <f>'หมายเหตุ 1'!H182</f>
        <v>10844100.24</v>
      </c>
    </row>
    <row r="231" spans="1:4" ht="24">
      <c r="A231" s="17" t="s">
        <v>32</v>
      </c>
      <c r="B231" s="16"/>
      <c r="C231" s="3"/>
      <c r="D231" s="15">
        <f>'หมายเหตุ 2'!G10</f>
        <v>788481.75</v>
      </c>
    </row>
    <row r="232" spans="1:7" ht="24">
      <c r="A232" s="1" t="s">
        <v>33</v>
      </c>
      <c r="B232" s="16"/>
      <c r="C232" s="3"/>
      <c r="D232" s="15">
        <f>'หมายเหตุ 2'!G92</f>
        <v>0</v>
      </c>
      <c r="G232" s="83">
        <f>D239</f>
        <v>18899202.88</v>
      </c>
    </row>
    <row r="233" spans="1:7" ht="24">
      <c r="A233" s="1" t="s">
        <v>34</v>
      </c>
      <c r="B233" s="16"/>
      <c r="C233" s="3"/>
      <c r="D233" s="15">
        <f>'หมายเหตุ 4'!I18</f>
        <v>159099.6200000001</v>
      </c>
      <c r="G233" s="83">
        <f>C239</f>
        <v>20568261.53</v>
      </c>
    </row>
    <row r="234" spans="1:7" ht="24">
      <c r="A234" s="1" t="s">
        <v>188</v>
      </c>
      <c r="B234" s="16"/>
      <c r="C234" s="3"/>
      <c r="D234" s="15">
        <f>'หมายเหตุ 4'!I25</f>
        <v>204500</v>
      </c>
      <c r="G234" s="83">
        <f>G232-G233</f>
        <v>-1669058.6500000022</v>
      </c>
    </row>
    <row r="235" spans="1:4" ht="24">
      <c r="A235" s="1" t="s">
        <v>189</v>
      </c>
      <c r="B235" s="16"/>
      <c r="C235" s="3"/>
      <c r="D235" s="15">
        <f>'หมายเหตุ 4'!I34</f>
        <v>0</v>
      </c>
    </row>
    <row r="236" spans="1:4" ht="24">
      <c r="A236" s="1" t="s">
        <v>190</v>
      </c>
      <c r="B236" s="16"/>
      <c r="C236" s="3"/>
      <c r="D236" s="15">
        <f>หมายเหตุ6!J19</f>
        <v>24234</v>
      </c>
    </row>
    <row r="237" spans="1:4" ht="24">
      <c r="A237" s="1" t="s">
        <v>37</v>
      </c>
      <c r="B237" s="16"/>
      <c r="C237" s="3"/>
      <c r="D237" s="15">
        <v>2757761.21</v>
      </c>
    </row>
    <row r="238" spans="1:4" ht="24">
      <c r="A238" s="1" t="s">
        <v>38</v>
      </c>
      <c r="B238" s="16"/>
      <c r="C238" s="3"/>
      <c r="D238" s="15">
        <v>4121026.06</v>
      </c>
    </row>
    <row r="239" spans="1:4" ht="24.75" thickBot="1">
      <c r="A239" s="1"/>
      <c r="B239" s="16"/>
      <c r="C239" s="18">
        <f>SUM(C213:C238)</f>
        <v>20568261.53</v>
      </c>
      <c r="D239" s="18">
        <f>SUM(D230:D238)</f>
        <v>18899202.88</v>
      </c>
    </row>
    <row r="240" spans="1:4" ht="24.75" thickTop="1">
      <c r="A240" s="1"/>
      <c r="B240" s="92"/>
      <c r="C240" s="93"/>
      <c r="D240" s="93"/>
    </row>
    <row r="241" ht="25.5" customHeight="1"/>
    <row r="242" spans="1:4" ht="23.25">
      <c r="A242" s="278" t="s">
        <v>0</v>
      </c>
      <c r="B242" s="278"/>
      <c r="C242" s="278"/>
      <c r="D242" s="278"/>
    </row>
    <row r="243" spans="1:4" ht="23.25">
      <c r="A243" s="278" t="s">
        <v>1</v>
      </c>
      <c r="B243" s="278"/>
      <c r="C243" s="278"/>
      <c r="D243" s="278"/>
    </row>
    <row r="244" spans="1:4" ht="23.25">
      <c r="A244" s="279" t="s">
        <v>214</v>
      </c>
      <c r="B244" s="279"/>
      <c r="C244" s="279"/>
      <c r="D244" s="279"/>
    </row>
    <row r="245" spans="1:4" ht="23.25">
      <c r="A245" s="58" t="s">
        <v>2</v>
      </c>
      <c r="B245" s="45" t="s">
        <v>3</v>
      </c>
      <c r="C245" s="46" t="s">
        <v>4</v>
      </c>
      <c r="D245" s="46" t="s">
        <v>5</v>
      </c>
    </row>
    <row r="246" spans="1:4" ht="23.25">
      <c r="A246" s="48"/>
      <c r="B246" s="50" t="s">
        <v>6</v>
      </c>
      <c r="C246" s="47"/>
      <c r="D246" s="47"/>
    </row>
    <row r="247" spans="1:4" ht="23.25">
      <c r="A247" s="41" t="s">
        <v>9</v>
      </c>
      <c r="B247" s="87" t="s">
        <v>10</v>
      </c>
      <c r="C247" s="86">
        <v>514929.57</v>
      </c>
      <c r="D247" s="51"/>
    </row>
    <row r="248" spans="1:4" ht="23.25">
      <c r="A248" s="41" t="s">
        <v>11</v>
      </c>
      <c r="B248" s="87" t="s">
        <v>12</v>
      </c>
      <c r="C248" s="40">
        <v>4120682.95</v>
      </c>
      <c r="D248" s="51"/>
    </row>
    <row r="249" spans="1:4" ht="23.25">
      <c r="A249" s="41" t="s">
        <v>13</v>
      </c>
      <c r="B249" s="87" t="s">
        <v>12</v>
      </c>
      <c r="C249" s="40">
        <v>11886595.35</v>
      </c>
      <c r="D249" s="51"/>
    </row>
    <row r="250" spans="1:4" ht="23.25">
      <c r="A250" s="41" t="s">
        <v>14</v>
      </c>
      <c r="B250" s="87" t="s">
        <v>12</v>
      </c>
      <c r="C250" s="40">
        <v>160613.88</v>
      </c>
      <c r="D250" s="51"/>
    </row>
    <row r="251" spans="1:4" ht="23.25">
      <c r="A251" s="41" t="s">
        <v>7</v>
      </c>
      <c r="B251" s="87"/>
      <c r="C251" s="40">
        <v>583.3</v>
      </c>
      <c r="D251" s="51"/>
    </row>
    <row r="252" spans="1:4" ht="23.25">
      <c r="A252" s="41" t="s">
        <v>110</v>
      </c>
      <c r="B252" s="87"/>
      <c r="C252" s="40">
        <v>574.58</v>
      </c>
      <c r="D252" s="51"/>
    </row>
    <row r="253" spans="1:4" ht="23.25">
      <c r="A253" s="41" t="s">
        <v>15</v>
      </c>
      <c r="B253" s="87"/>
      <c r="C253" s="40">
        <v>45000</v>
      </c>
      <c r="D253" s="51"/>
    </row>
    <row r="254" spans="1:4" ht="23.25">
      <c r="A254" s="41" t="s">
        <v>112</v>
      </c>
      <c r="B254" s="87"/>
      <c r="C254" s="40">
        <v>8850</v>
      </c>
      <c r="D254" s="51"/>
    </row>
    <row r="255" spans="1:4" ht="23.25">
      <c r="A255" s="41" t="s">
        <v>17</v>
      </c>
      <c r="B255" s="88"/>
      <c r="C255" s="40">
        <v>43203.03</v>
      </c>
      <c r="D255" s="51"/>
    </row>
    <row r="256" spans="1:4" ht="23.25">
      <c r="A256" s="41" t="s">
        <v>18</v>
      </c>
      <c r="B256" s="87" t="s">
        <v>19</v>
      </c>
      <c r="C256" s="40">
        <v>751889</v>
      </c>
      <c r="D256" s="51"/>
    </row>
    <row r="257" spans="1:4" ht="23.25">
      <c r="A257" s="41" t="s">
        <v>20</v>
      </c>
      <c r="B257" s="88">
        <v>100</v>
      </c>
      <c r="C257" s="40">
        <v>1509232</v>
      </c>
      <c r="D257" s="51"/>
    </row>
    <row r="258" spans="1:7" ht="23.25">
      <c r="A258" s="41" t="s">
        <v>21</v>
      </c>
      <c r="B258" s="88">
        <v>120</v>
      </c>
      <c r="C258" s="40">
        <v>128400</v>
      </c>
      <c r="D258" s="51"/>
      <c r="G258">
        <v>8</v>
      </c>
    </row>
    <row r="259" spans="1:4" ht="23.25">
      <c r="A259" s="41" t="s">
        <v>22</v>
      </c>
      <c r="B259" s="88">
        <v>130</v>
      </c>
      <c r="C259" s="40">
        <v>147119</v>
      </c>
      <c r="D259" s="51"/>
    </row>
    <row r="260" spans="1:4" ht="23.25">
      <c r="A260" s="41" t="s">
        <v>23</v>
      </c>
      <c r="B260" s="88">
        <v>200</v>
      </c>
      <c r="C260" s="40">
        <v>181980</v>
      </c>
      <c r="D260" s="51"/>
    </row>
    <row r="261" spans="1:4" ht="23.25">
      <c r="A261" s="41" t="s">
        <v>24</v>
      </c>
      <c r="B261" s="88">
        <v>250</v>
      </c>
      <c r="C261" s="40">
        <v>582667</v>
      </c>
      <c r="D261" s="51"/>
    </row>
    <row r="262" spans="1:4" ht="23.25">
      <c r="A262" s="41" t="s">
        <v>25</v>
      </c>
      <c r="B262" s="88">
        <v>270</v>
      </c>
      <c r="C262" s="40">
        <v>71869.99</v>
      </c>
      <c r="D262" s="51"/>
    </row>
    <row r="263" spans="1:4" ht="23.25">
      <c r="A263" s="41" t="s">
        <v>26</v>
      </c>
      <c r="B263" s="88">
        <v>300</v>
      </c>
      <c r="C263" s="40">
        <v>38435.7</v>
      </c>
      <c r="D263" s="51"/>
    </row>
    <row r="264" spans="1:4" ht="23.25">
      <c r="A264" s="41" t="s">
        <v>27</v>
      </c>
      <c r="B264" s="88">
        <v>400</v>
      </c>
      <c r="C264" s="86">
        <v>631200</v>
      </c>
      <c r="D264" s="51"/>
    </row>
    <row r="265" spans="1:4" ht="23.25">
      <c r="A265" s="41" t="s">
        <v>28</v>
      </c>
      <c r="B265" s="88">
        <v>450</v>
      </c>
      <c r="C265" s="86">
        <v>0</v>
      </c>
      <c r="D265" s="51"/>
    </row>
    <row r="266" spans="1:4" ht="23.25">
      <c r="A266" s="41" t="s">
        <v>31</v>
      </c>
      <c r="B266" s="88"/>
      <c r="C266" s="40"/>
      <c r="D266" s="51">
        <f>'หมายเหตุ 1'!H217</f>
        <v>11717806.07</v>
      </c>
    </row>
    <row r="267" spans="1:4" ht="23.25">
      <c r="A267" s="76" t="s">
        <v>32</v>
      </c>
      <c r="B267" s="88"/>
      <c r="C267" s="40"/>
      <c r="D267" s="51">
        <f>'หมายเหตุ 2'!G10</f>
        <v>788481.75</v>
      </c>
    </row>
    <row r="268" spans="1:4" ht="23.25">
      <c r="A268" s="41" t="s">
        <v>33</v>
      </c>
      <c r="B268" s="88"/>
      <c r="C268" s="40"/>
      <c r="D268" s="51">
        <f>'หมายเหตุ 2'!G127</f>
        <v>0</v>
      </c>
    </row>
    <row r="269" spans="1:4" ht="23.25">
      <c r="A269" s="41" t="s">
        <v>34</v>
      </c>
      <c r="B269" s="88"/>
      <c r="C269" s="40"/>
      <c r="D269" s="51">
        <f>'หมายเหตุ 4'!I18</f>
        <v>159099.6200000001</v>
      </c>
    </row>
    <row r="270" spans="1:7" ht="23.25">
      <c r="A270" s="41" t="s">
        <v>188</v>
      </c>
      <c r="B270" s="88"/>
      <c r="C270" s="40"/>
      <c r="D270" s="51">
        <f>'หมายเหตุ 4'!I25</f>
        <v>204500</v>
      </c>
      <c r="G270" s="83">
        <f>C275-D275</f>
        <v>1050916.6400000006</v>
      </c>
    </row>
    <row r="271" spans="1:4" ht="23.25">
      <c r="A271" s="41" t="s">
        <v>189</v>
      </c>
      <c r="B271" s="88"/>
      <c r="C271" s="40"/>
      <c r="D271" s="51">
        <f>'หมายเหตุ 4'!I34</f>
        <v>0</v>
      </c>
    </row>
    <row r="272" spans="1:4" ht="23.25">
      <c r="A272" s="41" t="s">
        <v>190</v>
      </c>
      <c r="B272" s="88"/>
      <c r="C272" s="40"/>
      <c r="D272" s="51">
        <f>หมายเหตุ6!J19</f>
        <v>24234</v>
      </c>
    </row>
    <row r="273" spans="1:4" ht="23.25">
      <c r="A273" s="41" t="s">
        <v>37</v>
      </c>
      <c r="B273" s="88"/>
      <c r="C273" s="40"/>
      <c r="D273" s="51">
        <v>2757761.21</v>
      </c>
    </row>
    <row r="274" spans="1:4" ht="23.25">
      <c r="A274" s="41" t="s">
        <v>38</v>
      </c>
      <c r="B274" s="88"/>
      <c r="C274" s="40"/>
      <c r="D274" s="51">
        <v>4121026.06</v>
      </c>
    </row>
    <row r="275" spans="1:4" ht="24" thickBot="1">
      <c r="A275" s="41"/>
      <c r="B275" s="88"/>
      <c r="C275" s="53">
        <f>SUM(C247:C274)</f>
        <v>20823825.35</v>
      </c>
      <c r="D275" s="53">
        <f>SUM(D266:D274)</f>
        <v>19772908.71</v>
      </c>
    </row>
    <row r="276" spans="1:4" ht="15" thickTop="1">
      <c r="A276" s="89"/>
      <c r="B276" s="89"/>
      <c r="C276" s="89"/>
      <c r="D276" s="89"/>
    </row>
    <row r="277" spans="1:4" ht="14.25">
      <c r="A277" s="89"/>
      <c r="B277" s="89"/>
      <c r="C277" s="89"/>
      <c r="D277" s="89"/>
    </row>
    <row r="278" spans="1:4" ht="14.25">
      <c r="A278" s="89"/>
      <c r="B278" s="89"/>
      <c r="C278" s="89"/>
      <c r="D278" s="89"/>
    </row>
    <row r="279" spans="1:4" ht="21">
      <c r="A279" s="280" t="s">
        <v>0</v>
      </c>
      <c r="B279" s="280"/>
      <c r="C279" s="280"/>
      <c r="D279" s="280"/>
    </row>
    <row r="280" spans="1:4" ht="21">
      <c r="A280" s="280" t="s">
        <v>1</v>
      </c>
      <c r="B280" s="280"/>
      <c r="C280" s="280"/>
      <c r="D280" s="280"/>
    </row>
    <row r="281" spans="1:4" ht="21">
      <c r="A281" s="282" t="s">
        <v>221</v>
      </c>
      <c r="B281" s="282"/>
      <c r="C281" s="282"/>
      <c r="D281" s="282"/>
    </row>
    <row r="282" spans="1:4" ht="21">
      <c r="A282" s="95" t="s">
        <v>2</v>
      </c>
      <c r="B282" s="96" t="s">
        <v>3</v>
      </c>
      <c r="C282" s="97" t="s">
        <v>4</v>
      </c>
      <c r="D282" s="97" t="s">
        <v>5</v>
      </c>
    </row>
    <row r="283" spans="1:4" ht="21">
      <c r="A283" s="98"/>
      <c r="B283" s="99" t="s">
        <v>6</v>
      </c>
      <c r="C283" s="100"/>
      <c r="D283" s="100"/>
    </row>
    <row r="284" spans="1:4" ht="21">
      <c r="A284" s="101" t="s">
        <v>9</v>
      </c>
      <c r="B284" s="102" t="s">
        <v>10</v>
      </c>
      <c r="C284" s="103">
        <v>0</v>
      </c>
      <c r="D284" s="104"/>
    </row>
    <row r="285" spans="1:7" ht="21">
      <c r="A285" s="101" t="s">
        <v>11</v>
      </c>
      <c r="B285" s="102" t="s">
        <v>12</v>
      </c>
      <c r="C285" s="105">
        <v>4387032.95</v>
      </c>
      <c r="D285" s="104"/>
      <c r="G285">
        <v>9</v>
      </c>
    </row>
    <row r="286" spans="1:4" ht="21">
      <c r="A286" s="101" t="s">
        <v>13</v>
      </c>
      <c r="B286" s="102" t="s">
        <v>12</v>
      </c>
      <c r="C286" s="105">
        <f>12876558.54+552.66</f>
        <v>12877111.2</v>
      </c>
      <c r="D286" s="104"/>
    </row>
    <row r="287" spans="1:4" ht="21">
      <c r="A287" s="101" t="s">
        <v>14</v>
      </c>
      <c r="B287" s="102" t="s">
        <v>12</v>
      </c>
      <c r="C287" s="105">
        <v>166613.88</v>
      </c>
      <c r="D287" s="104"/>
    </row>
    <row r="288" spans="1:4" ht="21">
      <c r="A288" s="101" t="s">
        <v>7</v>
      </c>
      <c r="B288" s="102"/>
      <c r="C288" s="105">
        <v>344.5</v>
      </c>
      <c r="D288" s="104"/>
    </row>
    <row r="289" spans="1:4" ht="21">
      <c r="A289" s="101" t="s">
        <v>17</v>
      </c>
      <c r="B289" s="106"/>
      <c r="C289" s="105">
        <v>43203.03</v>
      </c>
      <c r="D289" s="104"/>
    </row>
    <row r="290" spans="1:4" ht="21">
      <c r="A290" s="101" t="s">
        <v>18</v>
      </c>
      <c r="B290" s="102" t="s">
        <v>19</v>
      </c>
      <c r="C290" s="105">
        <v>784547</v>
      </c>
      <c r="D290" s="104"/>
    </row>
    <row r="291" spans="1:4" ht="21">
      <c r="A291" s="101" t="s">
        <v>20</v>
      </c>
      <c r="B291" s="106">
        <v>100</v>
      </c>
      <c r="C291" s="105">
        <v>1932082</v>
      </c>
      <c r="D291" s="104"/>
    </row>
    <row r="292" spans="1:4" ht="21">
      <c r="A292" s="101" t="s">
        <v>21</v>
      </c>
      <c r="B292" s="106">
        <v>120</v>
      </c>
      <c r="C292" s="105">
        <v>149980</v>
      </c>
      <c r="D292" s="104"/>
    </row>
    <row r="293" spans="1:4" ht="21">
      <c r="A293" s="101" t="s">
        <v>22</v>
      </c>
      <c r="B293" s="106">
        <v>130</v>
      </c>
      <c r="C293" s="105">
        <v>179949</v>
      </c>
      <c r="D293" s="104"/>
    </row>
    <row r="294" spans="1:4" ht="21">
      <c r="A294" s="101" t="s">
        <v>23</v>
      </c>
      <c r="B294" s="106">
        <v>200</v>
      </c>
      <c r="C294" s="105">
        <v>228923</v>
      </c>
      <c r="D294" s="104"/>
    </row>
    <row r="295" spans="1:4" ht="21">
      <c r="A295" s="101" t="s">
        <v>24</v>
      </c>
      <c r="B295" s="106">
        <v>250</v>
      </c>
      <c r="C295" s="105">
        <v>667886</v>
      </c>
      <c r="D295" s="104"/>
    </row>
    <row r="296" spans="1:4" ht="21">
      <c r="A296" s="101" t="s">
        <v>25</v>
      </c>
      <c r="B296" s="106">
        <v>270</v>
      </c>
      <c r="C296" s="105">
        <v>820579.97</v>
      </c>
      <c r="D296" s="104"/>
    </row>
    <row r="297" spans="1:4" ht="21">
      <c r="A297" s="101" t="s">
        <v>26</v>
      </c>
      <c r="B297" s="106">
        <v>300</v>
      </c>
      <c r="C297" s="105">
        <v>47289.48</v>
      </c>
      <c r="D297" s="104"/>
    </row>
    <row r="298" spans="1:4" ht="21">
      <c r="A298" s="101" t="s">
        <v>27</v>
      </c>
      <c r="B298" s="106">
        <v>400</v>
      </c>
      <c r="C298" s="103">
        <v>631200</v>
      </c>
      <c r="D298" s="104"/>
    </row>
    <row r="299" spans="1:4" ht="21">
      <c r="A299" s="101" t="s">
        <v>28</v>
      </c>
      <c r="B299" s="106">
        <v>450</v>
      </c>
      <c r="C299" s="103">
        <v>0</v>
      </c>
      <c r="D299" s="104"/>
    </row>
    <row r="300" spans="1:4" ht="21">
      <c r="A300" s="101" t="s">
        <v>30</v>
      </c>
      <c r="B300" s="102">
        <v>550</v>
      </c>
      <c r="C300" s="103">
        <v>0</v>
      </c>
      <c r="D300" s="104"/>
    </row>
    <row r="301" spans="1:4" ht="21">
      <c r="A301" s="101" t="s">
        <v>31</v>
      </c>
      <c r="B301" s="106"/>
      <c r="C301" s="105"/>
      <c r="D301" s="104">
        <f>'หมายเหตุ 1'!H259</f>
        <v>12707029.56</v>
      </c>
    </row>
    <row r="302" spans="1:4" ht="21">
      <c r="A302" s="107" t="s">
        <v>32</v>
      </c>
      <c r="B302" s="106"/>
      <c r="C302" s="105"/>
      <c r="D302" s="104">
        <f>'หมายเหตุ 2'!G10</f>
        <v>788481.75</v>
      </c>
    </row>
    <row r="303" spans="1:4" ht="21">
      <c r="A303" s="101" t="s">
        <v>33</v>
      </c>
      <c r="B303" s="106"/>
      <c r="C303" s="105"/>
      <c r="D303" s="104">
        <f>'หมายเหตุ 2'!G23</f>
        <v>0</v>
      </c>
    </row>
    <row r="304" spans="1:4" ht="21">
      <c r="A304" s="101" t="s">
        <v>34</v>
      </c>
      <c r="B304" s="106"/>
      <c r="C304" s="105"/>
      <c r="D304" s="104">
        <f>'หมายเหตุ 4'!I18</f>
        <v>159099.6200000001</v>
      </c>
    </row>
    <row r="305" spans="1:4" ht="21">
      <c r="A305" s="101" t="s">
        <v>188</v>
      </c>
      <c r="B305" s="106"/>
      <c r="C305" s="105"/>
      <c r="D305" s="104">
        <f>'หมายเหตุ 4'!I25</f>
        <v>204500</v>
      </c>
    </row>
    <row r="306" spans="1:4" ht="21">
      <c r="A306" s="101" t="s">
        <v>189</v>
      </c>
      <c r="B306" s="106"/>
      <c r="C306" s="105"/>
      <c r="D306" s="104">
        <f>'หมายเหตุ 4'!I34</f>
        <v>0</v>
      </c>
    </row>
    <row r="307" spans="1:4" ht="21">
      <c r="A307" s="101" t="s">
        <v>190</v>
      </c>
      <c r="B307" s="106"/>
      <c r="C307" s="105"/>
      <c r="D307" s="104">
        <f>หมายเหตุ6!J19</f>
        <v>24234</v>
      </c>
    </row>
    <row r="308" spans="1:4" ht="21">
      <c r="A308" s="101" t="s">
        <v>37</v>
      </c>
      <c r="B308" s="106"/>
      <c r="C308" s="105"/>
      <c r="D308" s="104">
        <v>2757761.21</v>
      </c>
    </row>
    <row r="309" spans="1:4" ht="21">
      <c r="A309" s="101" t="s">
        <v>38</v>
      </c>
      <c r="B309" s="106"/>
      <c r="C309" s="105"/>
      <c r="D309" s="104">
        <v>4121026.06</v>
      </c>
    </row>
    <row r="310" spans="1:4" ht="21.75" thickBot="1">
      <c r="A310" s="101"/>
      <c r="B310" s="106"/>
      <c r="C310" s="108">
        <f>SUM(C284:C309)</f>
        <v>22916742.009999998</v>
      </c>
      <c r="D310" s="108">
        <f>SUM(D301:D309)</f>
        <v>20762132.2</v>
      </c>
    </row>
    <row r="311" spans="1:4" ht="14.25" thickTop="1">
      <c r="A311" s="109"/>
      <c r="B311" s="109"/>
      <c r="C311" s="109"/>
      <c r="D311" s="109"/>
    </row>
    <row r="312" spans="1:4" ht="13.5">
      <c r="A312" s="109"/>
      <c r="B312" s="109"/>
      <c r="C312" s="109"/>
      <c r="D312" s="109"/>
    </row>
    <row r="313" spans="1:4" ht="13.5">
      <c r="A313" s="109"/>
      <c r="B313" s="109"/>
      <c r="C313" s="109"/>
      <c r="D313" s="109"/>
    </row>
    <row r="314" spans="1:4" ht="13.5">
      <c r="A314" s="109"/>
      <c r="B314" s="109"/>
      <c r="C314" s="109"/>
      <c r="D314" s="109"/>
    </row>
    <row r="315" spans="1:4" ht="13.5">
      <c r="A315" s="109"/>
      <c r="B315" s="109"/>
      <c r="C315" s="109"/>
      <c r="D315" s="109"/>
    </row>
    <row r="316" spans="1:4" ht="13.5">
      <c r="A316" s="109"/>
      <c r="B316" s="109"/>
      <c r="C316" s="109"/>
      <c r="D316" s="109"/>
    </row>
    <row r="323" spans="1:4" ht="23.25">
      <c r="A323" s="278" t="s">
        <v>0</v>
      </c>
      <c r="B323" s="278"/>
      <c r="C323" s="278"/>
      <c r="D323" s="278"/>
    </row>
    <row r="324" spans="1:4" ht="23.25">
      <c r="A324" s="278" t="s">
        <v>1</v>
      </c>
      <c r="B324" s="278"/>
      <c r="C324" s="278"/>
      <c r="D324" s="278"/>
    </row>
    <row r="325" spans="1:4" ht="23.25">
      <c r="A325" s="279" t="s">
        <v>227</v>
      </c>
      <c r="B325" s="279"/>
      <c r="C325" s="279"/>
      <c r="D325" s="279"/>
    </row>
    <row r="326" spans="1:4" ht="23.25">
      <c r="A326" s="58" t="s">
        <v>2</v>
      </c>
      <c r="B326" s="45" t="s">
        <v>3</v>
      </c>
      <c r="C326" s="46" t="s">
        <v>4</v>
      </c>
      <c r="D326" s="46" t="s">
        <v>5</v>
      </c>
    </row>
    <row r="327" spans="1:4" ht="23.25">
      <c r="A327" s="48"/>
      <c r="B327" s="50" t="s">
        <v>6</v>
      </c>
      <c r="C327" s="47"/>
      <c r="D327" s="47"/>
    </row>
    <row r="328" spans="1:4" ht="23.25">
      <c r="A328" s="41" t="s">
        <v>9</v>
      </c>
      <c r="B328" s="87" t="s">
        <v>10</v>
      </c>
      <c r="C328" s="86">
        <v>0</v>
      </c>
      <c r="D328" s="51"/>
    </row>
    <row r="329" spans="1:4" ht="23.25">
      <c r="A329" s="41" t="s">
        <v>11</v>
      </c>
      <c r="B329" s="87" t="s">
        <v>12</v>
      </c>
      <c r="C329" s="40">
        <v>4184596.95</v>
      </c>
      <c r="D329" s="51"/>
    </row>
    <row r="330" spans="1:4" ht="23.25">
      <c r="A330" s="41" t="s">
        <v>13</v>
      </c>
      <c r="B330" s="87" t="s">
        <v>12</v>
      </c>
      <c r="C330" s="40">
        <v>11726306.32</v>
      </c>
      <c r="D330" s="51"/>
    </row>
    <row r="331" spans="1:4" ht="23.25">
      <c r="A331" s="41" t="s">
        <v>14</v>
      </c>
      <c r="B331" s="87" t="s">
        <v>12</v>
      </c>
      <c r="C331" s="40">
        <v>184754.43</v>
      </c>
      <c r="D331" s="51"/>
    </row>
    <row r="332" spans="1:4" ht="23.25">
      <c r="A332" s="41" t="s">
        <v>7</v>
      </c>
      <c r="B332" s="87"/>
      <c r="C332" s="40">
        <v>0</v>
      </c>
      <c r="D332" s="51"/>
    </row>
    <row r="333" spans="1:4" ht="23.25">
      <c r="A333" s="41" t="s">
        <v>17</v>
      </c>
      <c r="B333" s="88"/>
      <c r="C333" s="40">
        <v>43203.03</v>
      </c>
      <c r="D333" s="51"/>
    </row>
    <row r="334" spans="1:4" ht="23.25">
      <c r="A334" s="41" t="s">
        <v>18</v>
      </c>
      <c r="B334" s="87" t="s">
        <v>19</v>
      </c>
      <c r="C334" s="40">
        <v>795047</v>
      </c>
      <c r="D334" s="51"/>
    </row>
    <row r="335" spans="1:7" ht="23.25">
      <c r="A335" s="41" t="s">
        <v>20</v>
      </c>
      <c r="B335" s="88">
        <v>100</v>
      </c>
      <c r="C335" s="40">
        <v>2223438</v>
      </c>
      <c r="D335" s="51"/>
      <c r="G335">
        <v>10</v>
      </c>
    </row>
    <row r="336" spans="1:4" ht="23.25">
      <c r="A336" s="41" t="s">
        <v>21</v>
      </c>
      <c r="B336" s="88">
        <v>120</v>
      </c>
      <c r="C336" s="40">
        <v>171560</v>
      </c>
      <c r="D336" s="51"/>
    </row>
    <row r="337" spans="1:4" ht="23.25">
      <c r="A337" s="41" t="s">
        <v>22</v>
      </c>
      <c r="B337" s="88">
        <v>130</v>
      </c>
      <c r="C337" s="40">
        <v>203649</v>
      </c>
      <c r="D337" s="51"/>
    </row>
    <row r="338" spans="1:4" ht="23.25">
      <c r="A338" s="41" t="s">
        <v>23</v>
      </c>
      <c r="B338" s="88">
        <v>200</v>
      </c>
      <c r="C338" s="40">
        <v>243703</v>
      </c>
      <c r="D338" s="51"/>
    </row>
    <row r="339" spans="1:4" ht="23.25">
      <c r="A339" s="41" t="s">
        <v>24</v>
      </c>
      <c r="B339" s="88">
        <v>250</v>
      </c>
      <c r="C339" s="40">
        <v>1037806</v>
      </c>
      <c r="D339" s="51"/>
    </row>
    <row r="340" spans="1:4" ht="23.25">
      <c r="A340" s="41" t="s">
        <v>25</v>
      </c>
      <c r="B340" s="88">
        <v>270</v>
      </c>
      <c r="C340" s="40">
        <v>866504.95</v>
      </c>
      <c r="D340" s="51"/>
    </row>
    <row r="341" spans="1:4" ht="23.25">
      <c r="A341" s="41" t="s">
        <v>26</v>
      </c>
      <c r="B341" s="88">
        <v>300</v>
      </c>
      <c r="C341" s="40">
        <v>52036.5</v>
      </c>
      <c r="D341" s="51"/>
    </row>
    <row r="342" spans="1:4" ht="23.25">
      <c r="A342" s="41" t="s">
        <v>27</v>
      </c>
      <c r="B342" s="88">
        <v>400</v>
      </c>
      <c r="C342" s="86">
        <v>631200</v>
      </c>
      <c r="D342" s="51"/>
    </row>
    <row r="343" spans="1:4" ht="23.25">
      <c r="A343" s="41" t="s">
        <v>28</v>
      </c>
      <c r="B343" s="88">
        <v>450</v>
      </c>
      <c r="C343" s="86">
        <v>0</v>
      </c>
      <c r="D343" s="51"/>
    </row>
    <row r="344" spans="1:4" ht="23.25">
      <c r="A344" s="41" t="s">
        <v>172</v>
      </c>
      <c r="B344" s="87">
        <v>500</v>
      </c>
      <c r="C344" s="86">
        <v>15000</v>
      </c>
      <c r="D344" s="51"/>
    </row>
    <row r="345" spans="1:4" ht="23.25">
      <c r="A345" s="41" t="s">
        <v>31</v>
      </c>
      <c r="B345" s="88"/>
      <c r="C345" s="40"/>
      <c r="D345" s="51">
        <f>'หมายเหตุ 1'!H303</f>
        <v>13599517.92</v>
      </c>
    </row>
    <row r="346" spans="1:4" ht="23.25">
      <c r="A346" s="76" t="s">
        <v>32</v>
      </c>
      <c r="B346" s="88"/>
      <c r="C346" s="40"/>
      <c r="D346" s="51">
        <f>'หมายเหตุ 2'!G10</f>
        <v>788481.75</v>
      </c>
    </row>
    <row r="347" spans="1:4" ht="23.25">
      <c r="A347" s="41" t="s">
        <v>33</v>
      </c>
      <c r="B347" s="88"/>
      <c r="C347" s="40"/>
      <c r="D347" s="51">
        <f>'หมายเหตุ 2'!G67</f>
        <v>0</v>
      </c>
    </row>
    <row r="348" spans="1:4" ht="23.25">
      <c r="A348" s="41" t="s">
        <v>34</v>
      </c>
      <c r="B348" s="88"/>
      <c r="C348" s="40"/>
      <c r="D348" s="51">
        <f>'หมายเหตุ 4'!I18</f>
        <v>159099.6200000001</v>
      </c>
    </row>
    <row r="349" spans="1:4" ht="23.25">
      <c r="A349" s="41" t="s">
        <v>188</v>
      </c>
      <c r="B349" s="88"/>
      <c r="C349" s="40"/>
      <c r="D349" s="51">
        <f>'หมายเหตุ 4'!I25</f>
        <v>204500</v>
      </c>
    </row>
    <row r="350" spans="1:4" ht="23.25">
      <c r="A350" s="41" t="s">
        <v>189</v>
      </c>
      <c r="B350" s="88"/>
      <c r="C350" s="40"/>
      <c r="D350" s="51">
        <f>'หมายเหตุ 4'!I34</f>
        <v>0</v>
      </c>
    </row>
    <row r="351" spans="1:4" ht="23.25">
      <c r="A351" s="41" t="s">
        <v>190</v>
      </c>
      <c r="B351" s="88"/>
      <c r="C351" s="40"/>
      <c r="D351" s="51">
        <f>หมายเหตุ6!J19</f>
        <v>24234</v>
      </c>
    </row>
    <row r="352" spans="1:4" ht="23.25">
      <c r="A352" s="41" t="s">
        <v>37</v>
      </c>
      <c r="B352" s="88"/>
      <c r="C352" s="40"/>
      <c r="D352" s="51">
        <v>2757761.21</v>
      </c>
    </row>
    <row r="353" spans="1:4" ht="23.25">
      <c r="A353" s="41" t="s">
        <v>38</v>
      </c>
      <c r="B353" s="88"/>
      <c r="C353" s="40"/>
      <c r="D353" s="51">
        <v>4121026.06</v>
      </c>
    </row>
    <row r="354" spans="1:4" ht="24" thickBot="1">
      <c r="A354" s="41"/>
      <c r="B354" s="88"/>
      <c r="C354" s="272">
        <f>SUM(C328:C353)</f>
        <v>22378805.179999996</v>
      </c>
      <c r="D354" s="272">
        <f>SUM(D345:D353)</f>
        <v>21654620.56</v>
      </c>
    </row>
    <row r="355" spans="1:4" ht="15" thickTop="1">
      <c r="A355" s="89"/>
      <c r="B355" s="89"/>
      <c r="C355" s="89"/>
      <c r="D355" s="89"/>
    </row>
    <row r="356" spans="1:4" ht="14.25">
      <c r="A356" s="89"/>
      <c r="B356" s="89"/>
      <c r="C356" s="89"/>
      <c r="D356" s="89"/>
    </row>
    <row r="357" spans="1:4" ht="14.25">
      <c r="A357" s="89"/>
      <c r="B357" s="89"/>
      <c r="C357" s="89"/>
      <c r="D357" s="89"/>
    </row>
    <row r="358" spans="1:4" ht="14.25">
      <c r="A358" s="89"/>
      <c r="B358" s="89"/>
      <c r="C358" s="89"/>
      <c r="D358" s="89"/>
    </row>
    <row r="359" spans="1:4" ht="14.25">
      <c r="A359" s="89"/>
      <c r="B359" s="89"/>
      <c r="C359" s="89"/>
      <c r="D359" s="89"/>
    </row>
    <row r="360" spans="1:4" ht="14.25">
      <c r="A360" s="89"/>
      <c r="B360" s="89"/>
      <c r="C360" s="89"/>
      <c r="D360" s="89"/>
    </row>
    <row r="361" spans="1:4" ht="23.25">
      <c r="A361" s="278" t="s">
        <v>0</v>
      </c>
      <c r="B361" s="278"/>
      <c r="C361" s="278"/>
      <c r="D361" s="278"/>
    </row>
    <row r="362" spans="1:4" ht="23.25">
      <c r="A362" s="278" t="s">
        <v>1</v>
      </c>
      <c r="B362" s="278"/>
      <c r="C362" s="278"/>
      <c r="D362" s="278"/>
    </row>
    <row r="363" spans="1:4" ht="23.25">
      <c r="A363" s="279" t="s">
        <v>230</v>
      </c>
      <c r="B363" s="279"/>
      <c r="C363" s="279"/>
      <c r="D363" s="279"/>
    </row>
    <row r="364" spans="1:4" ht="23.25">
      <c r="A364" s="58" t="s">
        <v>2</v>
      </c>
      <c r="B364" s="45" t="s">
        <v>3</v>
      </c>
      <c r="C364" s="46" t="s">
        <v>4</v>
      </c>
      <c r="D364" s="46" t="s">
        <v>5</v>
      </c>
    </row>
    <row r="365" spans="1:4" ht="23.25">
      <c r="A365" s="48"/>
      <c r="B365" s="50" t="s">
        <v>6</v>
      </c>
      <c r="C365" s="47"/>
      <c r="D365" s="47"/>
    </row>
    <row r="366" spans="1:4" ht="23.25">
      <c r="A366" s="41" t="s">
        <v>9</v>
      </c>
      <c r="B366" s="87" t="s">
        <v>10</v>
      </c>
      <c r="C366" s="86">
        <v>156743.91</v>
      </c>
      <c r="D366" s="51"/>
    </row>
    <row r="367" spans="1:4" ht="23.25">
      <c r="A367" s="41" t="s">
        <v>11</v>
      </c>
      <c r="B367" s="87" t="s">
        <v>12</v>
      </c>
      <c r="C367" s="40">
        <v>3935352.95</v>
      </c>
      <c r="D367" s="51"/>
    </row>
    <row r="368" spans="1:4" ht="23.25">
      <c r="A368" s="41" t="s">
        <v>13</v>
      </c>
      <c r="B368" s="87" t="s">
        <v>12</v>
      </c>
      <c r="C368" s="40">
        <v>11442948.07</v>
      </c>
      <c r="D368" s="51"/>
    </row>
    <row r="369" spans="1:4" ht="23.25">
      <c r="A369" s="41" t="s">
        <v>14</v>
      </c>
      <c r="B369" s="87" t="s">
        <v>12</v>
      </c>
      <c r="C369" s="40">
        <v>192846.95</v>
      </c>
      <c r="D369" s="51"/>
    </row>
    <row r="370" spans="1:4" ht="23.25">
      <c r="A370" s="41" t="s">
        <v>112</v>
      </c>
      <c r="B370" s="87"/>
      <c r="C370" s="40">
        <v>9611</v>
      </c>
      <c r="D370" s="51"/>
    </row>
    <row r="371" spans="1:4" ht="23.25">
      <c r="A371" s="41" t="s">
        <v>17</v>
      </c>
      <c r="B371" s="88"/>
      <c r="C371" s="40">
        <v>43203.03</v>
      </c>
      <c r="D371" s="51"/>
    </row>
    <row r="372" spans="1:4" ht="23.25">
      <c r="A372" s="41" t="s">
        <v>18</v>
      </c>
      <c r="B372" s="87" t="s">
        <v>19</v>
      </c>
      <c r="C372" s="40">
        <v>841485</v>
      </c>
      <c r="D372" s="51"/>
    </row>
    <row r="373" spans="1:4" ht="23.25">
      <c r="A373" s="41" t="s">
        <v>20</v>
      </c>
      <c r="B373" s="88">
        <v>100</v>
      </c>
      <c r="C373" s="40">
        <v>2568182</v>
      </c>
      <c r="D373" s="51"/>
    </row>
    <row r="374" spans="1:4" ht="23.25">
      <c r="A374" s="41" t="s">
        <v>21</v>
      </c>
      <c r="B374" s="88">
        <v>120</v>
      </c>
      <c r="C374" s="40">
        <v>193140</v>
      </c>
      <c r="D374" s="51"/>
    </row>
    <row r="375" spans="1:4" ht="23.25">
      <c r="A375" s="41" t="s">
        <v>22</v>
      </c>
      <c r="B375" s="88">
        <v>130</v>
      </c>
      <c r="C375" s="40">
        <v>219599</v>
      </c>
      <c r="D375" s="51"/>
    </row>
    <row r="376" spans="1:4" ht="23.25">
      <c r="A376" s="41" t="s">
        <v>23</v>
      </c>
      <c r="B376" s="88">
        <v>200</v>
      </c>
      <c r="C376" s="40">
        <v>278287</v>
      </c>
      <c r="D376" s="51"/>
    </row>
    <row r="377" spans="1:4" ht="23.25">
      <c r="A377" s="41" t="s">
        <v>24</v>
      </c>
      <c r="B377" s="88">
        <v>250</v>
      </c>
      <c r="C377" s="40">
        <v>1070692</v>
      </c>
      <c r="D377" s="51"/>
    </row>
    <row r="378" spans="1:4" ht="23.25">
      <c r="A378" s="41" t="s">
        <v>25</v>
      </c>
      <c r="B378" s="88">
        <v>270</v>
      </c>
      <c r="C378" s="40">
        <v>967113.29</v>
      </c>
      <c r="D378" s="51"/>
    </row>
    <row r="379" spans="1:4" ht="23.25">
      <c r="A379" s="41" t="s">
        <v>26</v>
      </c>
      <c r="B379" s="88">
        <v>300</v>
      </c>
      <c r="C379" s="40">
        <v>63744.28</v>
      </c>
      <c r="D379" s="51"/>
    </row>
    <row r="380" spans="1:4" ht="23.25">
      <c r="A380" s="41" t="s">
        <v>27</v>
      </c>
      <c r="B380" s="88">
        <v>400</v>
      </c>
      <c r="C380" s="86">
        <v>631200</v>
      </c>
      <c r="D380" s="51"/>
    </row>
    <row r="381" spans="1:4" ht="23.25">
      <c r="A381" s="41" t="s">
        <v>28</v>
      </c>
      <c r="B381" s="88">
        <v>450</v>
      </c>
      <c r="C381" s="86">
        <v>0</v>
      </c>
      <c r="D381" s="51"/>
    </row>
    <row r="382" spans="1:4" ht="23.25">
      <c r="A382" s="41" t="s">
        <v>172</v>
      </c>
      <c r="B382" s="87">
        <v>500</v>
      </c>
      <c r="C382" s="86">
        <v>15000</v>
      </c>
      <c r="D382" s="51"/>
    </row>
    <row r="383" spans="1:4" ht="23.25">
      <c r="A383" s="41" t="s">
        <v>31</v>
      </c>
      <c r="B383" s="88"/>
      <c r="C383" s="40"/>
      <c r="D383" s="51">
        <f>'หมายเหตุ 1'!H347</f>
        <v>14078365.06</v>
      </c>
    </row>
    <row r="384" spans="1:4" ht="23.25">
      <c r="A384" s="76" t="s">
        <v>32</v>
      </c>
      <c r="B384" s="88"/>
      <c r="C384" s="40"/>
      <c r="D384" s="51">
        <f>'หมายเหตุ 2'!G10</f>
        <v>788481.75</v>
      </c>
    </row>
    <row r="385" spans="1:4" ht="23.25">
      <c r="A385" s="41" t="s">
        <v>33</v>
      </c>
      <c r="B385" s="88"/>
      <c r="C385" s="40"/>
      <c r="D385" s="51">
        <f>'หมายเหตุ 2'!G105</f>
        <v>0</v>
      </c>
    </row>
    <row r="386" spans="1:7" ht="23.25">
      <c r="A386" s="41" t="s">
        <v>34</v>
      </c>
      <c r="B386" s="88"/>
      <c r="C386" s="40"/>
      <c r="D386" s="51">
        <f>'หมายเหตุ 4'!I18</f>
        <v>159099.6200000001</v>
      </c>
      <c r="G386">
        <v>22619537.48</v>
      </c>
    </row>
    <row r="387" spans="1:7" ht="23.25">
      <c r="A387" s="41" t="s">
        <v>188</v>
      </c>
      <c r="B387" s="88"/>
      <c r="C387" s="40"/>
      <c r="D387" s="51">
        <f>'หมายเหตุ 4'!I25</f>
        <v>204500</v>
      </c>
      <c r="G387" s="83">
        <f>D392</f>
        <v>22133467.7</v>
      </c>
    </row>
    <row r="388" spans="1:7" ht="23.25">
      <c r="A388" s="41" t="s">
        <v>189</v>
      </c>
      <c r="B388" s="88"/>
      <c r="C388" s="40"/>
      <c r="D388" s="51">
        <f>'หมายเหตุ 4'!I34</f>
        <v>0</v>
      </c>
      <c r="G388" s="83">
        <f>G387-G386</f>
        <v>-486069.7800000012</v>
      </c>
    </row>
    <row r="389" spans="1:4" ht="23.25">
      <c r="A389" s="41" t="s">
        <v>190</v>
      </c>
      <c r="B389" s="88"/>
      <c r="C389" s="40"/>
      <c r="D389" s="51">
        <f>หมายเหตุ6!J19</f>
        <v>24234</v>
      </c>
    </row>
    <row r="390" spans="1:4" ht="23.25">
      <c r="A390" s="41" t="s">
        <v>37</v>
      </c>
      <c r="B390" s="88"/>
      <c r="C390" s="40"/>
      <c r="D390" s="51">
        <v>2757761.21</v>
      </c>
    </row>
    <row r="391" spans="1:4" ht="23.25">
      <c r="A391" s="41" t="s">
        <v>38</v>
      </c>
      <c r="B391" s="88"/>
      <c r="C391" s="40"/>
      <c r="D391" s="51">
        <v>4121026.06</v>
      </c>
    </row>
    <row r="392" spans="1:4" ht="24" thickBot="1">
      <c r="A392" s="41"/>
      <c r="B392" s="88"/>
      <c r="C392" s="272">
        <f>SUM(C366:C391)</f>
        <v>22629148.479999997</v>
      </c>
      <c r="D392" s="272">
        <f>SUM(D383:D391)</f>
        <v>22133467.7</v>
      </c>
    </row>
    <row r="393" spans="1:4" ht="15" thickTop="1">
      <c r="A393" s="89"/>
      <c r="B393" s="89"/>
      <c r="C393" s="89"/>
      <c r="D393" s="89"/>
    </row>
    <row r="394" spans="1:4" ht="14.25">
      <c r="A394" s="89"/>
      <c r="B394" s="89"/>
      <c r="C394" s="89"/>
      <c r="D394" s="89"/>
    </row>
    <row r="395" spans="1:4" ht="14.25">
      <c r="A395" s="89"/>
      <c r="B395" s="89"/>
      <c r="C395" s="89"/>
      <c r="D395" s="89"/>
    </row>
    <row r="396" spans="1:4" ht="14.25">
      <c r="A396" s="89"/>
      <c r="B396" s="89"/>
      <c r="C396" s="89"/>
      <c r="D396" s="89"/>
    </row>
    <row r="397" spans="1:4" ht="14.25">
      <c r="A397" s="89"/>
      <c r="B397" s="89"/>
      <c r="C397" s="89"/>
      <c r="D397" s="89"/>
    </row>
    <row r="399" spans="1:4" ht="23.25">
      <c r="A399" s="278" t="s">
        <v>0</v>
      </c>
      <c r="B399" s="278"/>
      <c r="C399" s="278"/>
      <c r="D399" s="278"/>
    </row>
    <row r="400" spans="1:4" ht="23.25">
      <c r="A400" s="278" t="s">
        <v>1</v>
      </c>
      <c r="B400" s="278"/>
      <c r="C400" s="278"/>
      <c r="D400" s="278"/>
    </row>
    <row r="401" spans="1:4" ht="23.25">
      <c r="A401" s="279" t="s">
        <v>232</v>
      </c>
      <c r="B401" s="279"/>
      <c r="C401" s="279"/>
      <c r="D401" s="279"/>
    </row>
    <row r="402" spans="1:4" ht="23.25">
      <c r="A402" s="58" t="s">
        <v>2</v>
      </c>
      <c r="B402" s="45" t="s">
        <v>3</v>
      </c>
      <c r="C402" s="46" t="s">
        <v>4</v>
      </c>
      <c r="D402" s="46" t="s">
        <v>5</v>
      </c>
    </row>
    <row r="403" spans="1:4" ht="23.25">
      <c r="A403" s="48"/>
      <c r="B403" s="50" t="s">
        <v>6</v>
      </c>
      <c r="C403" s="47"/>
      <c r="D403" s="47"/>
    </row>
    <row r="404" spans="1:4" ht="23.25">
      <c r="A404" s="41" t="s">
        <v>9</v>
      </c>
      <c r="B404" s="87" t="s">
        <v>10</v>
      </c>
      <c r="C404" s="86">
        <v>0</v>
      </c>
      <c r="D404" s="51"/>
    </row>
    <row r="405" spans="1:4" ht="23.25">
      <c r="A405" s="41" t="s">
        <v>11</v>
      </c>
      <c r="B405" s="87" t="s">
        <v>12</v>
      </c>
      <c r="C405" s="40">
        <v>4085356.36</v>
      </c>
      <c r="D405" s="51"/>
    </row>
    <row r="406" spans="1:4" ht="23.25">
      <c r="A406" s="41" t="s">
        <v>13</v>
      </c>
      <c r="B406" s="87" t="s">
        <v>12</v>
      </c>
      <c r="C406" s="40">
        <v>9099522.7</v>
      </c>
      <c r="D406" s="51"/>
    </row>
    <row r="407" spans="1:4" ht="23.25">
      <c r="A407" s="41" t="s">
        <v>14</v>
      </c>
      <c r="B407" s="87" t="s">
        <v>12</v>
      </c>
      <c r="C407" s="40">
        <v>192846.95</v>
      </c>
      <c r="D407" s="51"/>
    </row>
    <row r="408" spans="1:4" ht="23.25">
      <c r="A408" s="41" t="s">
        <v>112</v>
      </c>
      <c r="B408" s="87"/>
      <c r="C408" s="40">
        <v>15500</v>
      </c>
      <c r="D408" s="51"/>
    </row>
    <row r="409" spans="1:4" ht="23.25">
      <c r="A409" s="41" t="s">
        <v>17</v>
      </c>
      <c r="B409" s="88"/>
      <c r="C409" s="40">
        <v>43203.03</v>
      </c>
      <c r="D409" s="51"/>
    </row>
    <row r="410" spans="1:4" ht="23.25">
      <c r="A410" s="41" t="s">
        <v>18</v>
      </c>
      <c r="B410" s="87" t="s">
        <v>19</v>
      </c>
      <c r="C410" s="40">
        <v>904473.06</v>
      </c>
      <c r="D410" s="51"/>
    </row>
    <row r="411" spans="1:4" ht="23.25">
      <c r="A411" s="41" t="s">
        <v>20</v>
      </c>
      <c r="B411" s="88">
        <v>100</v>
      </c>
      <c r="C411" s="40">
        <v>2870288</v>
      </c>
      <c r="D411" s="51"/>
    </row>
    <row r="412" spans="1:4" ht="23.25">
      <c r="A412" s="41" t="s">
        <v>21</v>
      </c>
      <c r="B412" s="88">
        <v>120</v>
      </c>
      <c r="C412" s="40">
        <f>193140+21580</f>
        <v>214720</v>
      </c>
      <c r="D412" s="51"/>
    </row>
    <row r="413" spans="1:4" ht="23.25">
      <c r="A413" s="41" t="s">
        <v>22</v>
      </c>
      <c r="B413" s="88">
        <v>130</v>
      </c>
      <c r="C413" s="40">
        <f>219599+27940</f>
        <v>247539</v>
      </c>
      <c r="D413" s="51"/>
    </row>
    <row r="414" spans="1:4" ht="23.25">
      <c r="A414" s="41" t="s">
        <v>23</v>
      </c>
      <c r="B414" s="88">
        <v>200</v>
      </c>
      <c r="C414" s="40">
        <f>278287+18786</f>
        <v>297073</v>
      </c>
      <c r="D414" s="51"/>
    </row>
    <row r="415" spans="1:4" ht="23.25">
      <c r="A415" s="41" t="s">
        <v>24</v>
      </c>
      <c r="B415" s="88">
        <v>250</v>
      </c>
      <c r="C415" s="40">
        <f>1070692+9611+33412</f>
        <v>1113715</v>
      </c>
      <c r="D415" s="51"/>
    </row>
    <row r="416" spans="1:4" ht="23.25">
      <c r="A416" s="41" t="s">
        <v>25</v>
      </c>
      <c r="B416" s="88">
        <v>270</v>
      </c>
      <c r="C416" s="40">
        <f>967113.29+188143</f>
        <v>1155256.29</v>
      </c>
      <c r="D416" s="51"/>
    </row>
    <row r="417" spans="1:4" ht="23.25">
      <c r="A417" s="41" t="s">
        <v>26</v>
      </c>
      <c r="B417" s="88">
        <v>300</v>
      </c>
      <c r="C417" s="40">
        <f>63744.28+11131.02</f>
        <v>74875.3</v>
      </c>
      <c r="D417" s="51"/>
    </row>
    <row r="418" spans="1:4" ht="23.25">
      <c r="A418" s="41" t="s">
        <v>27</v>
      </c>
      <c r="B418" s="88">
        <v>400</v>
      </c>
      <c r="C418" s="86">
        <f>631200+155000</f>
        <v>786200</v>
      </c>
      <c r="D418" s="51"/>
    </row>
    <row r="419" spans="1:4" ht="23.25">
      <c r="A419" s="41" t="s">
        <v>28</v>
      </c>
      <c r="B419" s="88">
        <v>450</v>
      </c>
      <c r="C419" s="86">
        <v>0</v>
      </c>
      <c r="D419" s="51"/>
    </row>
    <row r="420" spans="1:4" ht="23.25">
      <c r="A420" s="41" t="s">
        <v>172</v>
      </c>
      <c r="B420" s="87">
        <v>500</v>
      </c>
      <c r="C420" s="86">
        <f>15000+1404570</f>
        <v>1419570</v>
      </c>
      <c r="D420" s="51"/>
    </row>
    <row r="421" spans="1:4" ht="23.25">
      <c r="A421" s="41" t="s">
        <v>31</v>
      </c>
      <c r="B421" s="88"/>
      <c r="C421" s="40"/>
      <c r="D421" s="51">
        <f>'หมายเหตุ 1'!H391</f>
        <v>15455899.24</v>
      </c>
    </row>
    <row r="422" spans="1:4" ht="23.25">
      <c r="A422" s="76" t="s">
        <v>32</v>
      </c>
      <c r="B422" s="88"/>
      <c r="C422" s="40"/>
      <c r="D422" s="51">
        <f>'หมายเหตุ 2'!G10</f>
        <v>788481.75</v>
      </c>
    </row>
    <row r="423" spans="1:4" ht="23.25">
      <c r="A423" s="41" t="s">
        <v>33</v>
      </c>
      <c r="B423" s="88"/>
      <c r="C423" s="40"/>
      <c r="D423" s="51">
        <f>'หมายเหตุ 2'!G23</f>
        <v>0</v>
      </c>
    </row>
    <row r="424" spans="1:4" ht="23.25">
      <c r="A424" s="41" t="s">
        <v>34</v>
      </c>
      <c r="B424" s="88"/>
      <c r="C424" s="40"/>
      <c r="D424" s="51">
        <f>'หมายเหตุ 4'!I18</f>
        <v>159099.6200000001</v>
      </c>
    </row>
    <row r="425" spans="1:4" ht="23.25">
      <c r="A425" s="41" t="s">
        <v>188</v>
      </c>
      <c r="B425" s="88"/>
      <c r="C425" s="40"/>
      <c r="D425" s="51">
        <f>'หมายเหตุ 4'!I25</f>
        <v>204500</v>
      </c>
    </row>
    <row r="426" spans="1:4" ht="23.25">
      <c r="A426" s="41" t="s">
        <v>189</v>
      </c>
      <c r="B426" s="88"/>
      <c r="C426" s="40"/>
      <c r="D426" s="51">
        <f>'หมายเหตุ 4'!I34</f>
        <v>0</v>
      </c>
    </row>
    <row r="427" spans="1:4" ht="23.25">
      <c r="A427" s="41" t="s">
        <v>190</v>
      </c>
      <c r="B427" s="88"/>
      <c r="C427" s="40"/>
      <c r="D427" s="51">
        <f>หมายเหตุ6!J19</f>
        <v>24234</v>
      </c>
    </row>
    <row r="428" spans="1:4" ht="23.25">
      <c r="A428" s="41" t="s">
        <v>37</v>
      </c>
      <c r="B428" s="88"/>
      <c r="C428" s="40"/>
      <c r="D428" s="51">
        <v>1603480.21</v>
      </c>
    </row>
    <row r="429" spans="1:4" ht="23.25">
      <c r="A429" s="41" t="s">
        <v>38</v>
      </c>
      <c r="B429" s="88"/>
      <c r="C429" s="40"/>
      <c r="D429" s="51">
        <v>4121026.06</v>
      </c>
    </row>
    <row r="430" spans="1:4" ht="24" thickBot="1">
      <c r="A430" s="41"/>
      <c r="B430" s="88"/>
      <c r="C430" s="272">
        <f>SUM(C404:C429)</f>
        <v>22520138.689999998</v>
      </c>
      <c r="D430" s="272">
        <f>SUM(D421:D429)</f>
        <v>22356720.88</v>
      </c>
    </row>
    <row r="431" spans="1:4" ht="15" thickTop="1">
      <c r="A431" s="89"/>
      <c r="B431" s="89"/>
      <c r="C431" s="89"/>
      <c r="D431" s="89"/>
    </row>
    <row r="438" spans="1:4" ht="23.25">
      <c r="A438" s="278" t="s">
        <v>0</v>
      </c>
      <c r="B438" s="278"/>
      <c r="C438" s="278"/>
      <c r="D438" s="278"/>
    </row>
    <row r="439" spans="1:4" ht="23.25">
      <c r="A439" s="278" t="s">
        <v>1</v>
      </c>
      <c r="B439" s="278"/>
      <c r="C439" s="278"/>
      <c r="D439" s="278"/>
    </row>
    <row r="440" spans="1:4" ht="23.25">
      <c r="A440" s="279" t="s">
        <v>234</v>
      </c>
      <c r="B440" s="279"/>
      <c r="C440" s="279"/>
      <c r="D440" s="279"/>
    </row>
    <row r="441" spans="1:4" ht="23.25">
      <c r="A441" s="58" t="s">
        <v>2</v>
      </c>
      <c r="B441" s="45" t="s">
        <v>3</v>
      </c>
      <c r="C441" s="46" t="s">
        <v>4</v>
      </c>
      <c r="D441" s="46" t="s">
        <v>5</v>
      </c>
    </row>
    <row r="442" spans="1:4" ht="23.25">
      <c r="A442" s="48"/>
      <c r="B442" s="50" t="s">
        <v>6</v>
      </c>
      <c r="C442" s="47"/>
      <c r="D442" s="47"/>
    </row>
    <row r="443" spans="1:4" ht="23.25">
      <c r="A443" s="41" t="s">
        <v>9</v>
      </c>
      <c r="B443" s="87" t="s">
        <v>10</v>
      </c>
      <c r="C443" s="86">
        <v>297836</v>
      </c>
      <c r="D443" s="51"/>
    </row>
    <row r="444" spans="1:4" ht="23.25">
      <c r="A444" s="41" t="s">
        <v>11</v>
      </c>
      <c r="B444" s="87" t="s">
        <v>12</v>
      </c>
      <c r="C444" s="40">
        <v>4202717.94</v>
      </c>
      <c r="D444" s="51"/>
    </row>
    <row r="445" spans="1:4" ht="23.25">
      <c r="A445" s="41" t="s">
        <v>13</v>
      </c>
      <c r="B445" s="87" t="s">
        <v>12</v>
      </c>
      <c r="C445" s="40">
        <v>8741535.67</v>
      </c>
      <c r="D445" s="51"/>
    </row>
    <row r="446" spans="1:4" ht="23.25">
      <c r="A446" s="41" t="s">
        <v>14</v>
      </c>
      <c r="B446" s="87" t="s">
        <v>12</v>
      </c>
      <c r="C446" s="40">
        <v>200846.95</v>
      </c>
      <c r="D446" s="51"/>
    </row>
    <row r="447" spans="1:4" ht="23.25">
      <c r="A447" s="41" t="s">
        <v>112</v>
      </c>
      <c r="B447" s="87"/>
      <c r="C447" s="40">
        <v>2763</v>
      </c>
      <c r="D447" s="51"/>
    </row>
    <row r="448" spans="1:4" ht="23.25">
      <c r="A448" s="41" t="s">
        <v>236</v>
      </c>
      <c r="B448" s="88"/>
      <c r="C448" s="40">
        <v>43203.03</v>
      </c>
      <c r="D448" s="51"/>
    </row>
    <row r="449" spans="1:4" ht="23.25">
      <c r="A449" s="41" t="s">
        <v>18</v>
      </c>
      <c r="B449" s="87" t="s">
        <v>19</v>
      </c>
      <c r="C449" s="40">
        <v>917767.06</v>
      </c>
      <c r="D449" s="51"/>
    </row>
    <row r="450" spans="1:4" ht="23.25">
      <c r="A450" s="41" t="s">
        <v>20</v>
      </c>
      <c r="B450" s="88">
        <v>100</v>
      </c>
      <c r="C450" s="40">
        <v>3168029</v>
      </c>
      <c r="D450" s="51"/>
    </row>
    <row r="451" spans="1:4" ht="23.25">
      <c r="A451" s="41" t="s">
        <v>21</v>
      </c>
      <c r="B451" s="88">
        <v>120</v>
      </c>
      <c r="C451" s="40">
        <v>236300</v>
      </c>
      <c r="D451" s="51"/>
    </row>
    <row r="452" spans="1:4" ht="23.25">
      <c r="A452" s="41" t="s">
        <v>22</v>
      </c>
      <c r="B452" s="88">
        <v>130</v>
      </c>
      <c r="C452" s="40">
        <v>271239</v>
      </c>
      <c r="D452" s="51"/>
    </row>
    <row r="453" spans="1:4" ht="23.25">
      <c r="A453" s="41" t="s">
        <v>23</v>
      </c>
      <c r="B453" s="88">
        <v>200</v>
      </c>
      <c r="C453" s="40">
        <v>315540</v>
      </c>
      <c r="D453" s="51"/>
    </row>
    <row r="454" spans="1:4" ht="23.25">
      <c r="A454" s="41" t="s">
        <v>24</v>
      </c>
      <c r="B454" s="88">
        <v>250</v>
      </c>
      <c r="C454" s="40">
        <v>1289168</v>
      </c>
      <c r="D454" s="51"/>
    </row>
    <row r="455" spans="1:4" ht="23.25">
      <c r="A455" s="41" t="s">
        <v>25</v>
      </c>
      <c r="B455" s="88">
        <v>270</v>
      </c>
      <c r="C455" s="40">
        <v>1190473.44</v>
      </c>
      <c r="D455" s="51"/>
    </row>
    <row r="456" spans="1:4" ht="23.25">
      <c r="A456" s="41" t="s">
        <v>26</v>
      </c>
      <c r="B456" s="88">
        <v>300</v>
      </c>
      <c r="C456" s="40">
        <v>89199.83</v>
      </c>
      <c r="D456" s="51"/>
    </row>
    <row r="457" spans="1:4" ht="23.25">
      <c r="A457" s="41" t="s">
        <v>27</v>
      </c>
      <c r="B457" s="88">
        <v>400</v>
      </c>
      <c r="C457" s="86">
        <v>1394400</v>
      </c>
      <c r="D457" s="51"/>
    </row>
    <row r="458" spans="1:4" ht="23.25">
      <c r="A458" s="41" t="s">
        <v>30</v>
      </c>
      <c r="B458" s="88">
        <v>550</v>
      </c>
      <c r="C458" s="86">
        <v>25000</v>
      </c>
      <c r="D458" s="51"/>
    </row>
    <row r="459" spans="1:4" ht="23.25">
      <c r="A459" s="41" t="s">
        <v>172</v>
      </c>
      <c r="B459" s="87">
        <v>500</v>
      </c>
      <c r="C459" s="86">
        <f>15000+1404570</f>
        <v>1419570</v>
      </c>
      <c r="D459" s="51"/>
    </row>
    <row r="460" spans="1:4" ht="23.25">
      <c r="A460" s="41" t="s">
        <v>31</v>
      </c>
      <c r="B460" s="88"/>
      <c r="C460" s="40"/>
      <c r="D460" s="51">
        <f>'หมายเหตุ 1'!H436</f>
        <v>16482760.250000002</v>
      </c>
    </row>
    <row r="461" spans="1:4" ht="23.25">
      <c r="A461" s="76" t="s">
        <v>32</v>
      </c>
      <c r="B461" s="88"/>
      <c r="C461" s="40"/>
      <c r="D461" s="51">
        <f>'หมายเหตุ 2'!G10</f>
        <v>788481.75</v>
      </c>
    </row>
    <row r="462" spans="1:4" ht="23.25">
      <c r="A462" s="41" t="s">
        <v>33</v>
      </c>
      <c r="B462" s="88"/>
      <c r="C462" s="40"/>
      <c r="D462" s="51">
        <f>'หมายเหตุ 2'!G23</f>
        <v>0</v>
      </c>
    </row>
    <row r="463" spans="1:4" ht="23.25">
      <c r="A463" s="41" t="s">
        <v>34</v>
      </c>
      <c r="B463" s="88"/>
      <c r="C463" s="40"/>
      <c r="D463" s="51">
        <f>'หมายเหตุ 4'!I18</f>
        <v>159099.6200000001</v>
      </c>
    </row>
    <row r="464" spans="1:4" ht="23.25">
      <c r="A464" s="41" t="s">
        <v>188</v>
      </c>
      <c r="B464" s="88"/>
      <c r="C464" s="40"/>
      <c r="D464" s="51">
        <f>'หมายเหตุ 4'!I25</f>
        <v>204500</v>
      </c>
    </row>
    <row r="465" spans="1:4" ht="23.25">
      <c r="A465" s="41" t="s">
        <v>189</v>
      </c>
      <c r="B465" s="88"/>
      <c r="C465" s="40"/>
      <c r="D465" s="51">
        <f>'หมายเหตุ 4'!I34</f>
        <v>0</v>
      </c>
    </row>
    <row r="466" spans="1:4" ht="23.25">
      <c r="A466" s="41" t="s">
        <v>190</v>
      </c>
      <c r="B466" s="88"/>
      <c r="C466" s="40"/>
      <c r="D466" s="51">
        <f>หมายเหตุ6!J19</f>
        <v>24234</v>
      </c>
    </row>
    <row r="467" spans="1:4" ht="23.25">
      <c r="A467" s="41" t="s">
        <v>37</v>
      </c>
      <c r="B467" s="88"/>
      <c r="C467" s="40"/>
      <c r="D467" s="51">
        <v>1603480.21</v>
      </c>
    </row>
    <row r="468" spans="1:4" ht="23.25">
      <c r="A468" s="41" t="s">
        <v>38</v>
      </c>
      <c r="B468" s="88"/>
      <c r="C468" s="40"/>
      <c r="D468" s="51">
        <v>4121026.06</v>
      </c>
    </row>
    <row r="469" spans="1:4" ht="24" thickBot="1">
      <c r="A469" s="41"/>
      <c r="B469" s="88"/>
      <c r="C469" s="272">
        <f>SUM(C443:C468)</f>
        <v>23805588.919999998</v>
      </c>
      <c r="D469" s="272">
        <f>SUM(D460:D468)</f>
        <v>23383581.89</v>
      </c>
    </row>
    <row r="470" spans="1:4" ht="15" thickTop="1">
      <c r="A470" s="89"/>
      <c r="B470" s="89"/>
      <c r="C470" s="89"/>
      <c r="D470" s="89"/>
    </row>
    <row r="477" spans="1:4" ht="23.25">
      <c r="A477" s="278" t="s">
        <v>0</v>
      </c>
      <c r="B477" s="278"/>
      <c r="C477" s="278"/>
      <c r="D477" s="278"/>
    </row>
    <row r="478" spans="1:4" ht="23.25">
      <c r="A478" s="278" t="s">
        <v>1</v>
      </c>
      <c r="B478" s="278"/>
      <c r="C478" s="278"/>
      <c r="D478" s="278"/>
    </row>
    <row r="479" spans="1:4" ht="23.25">
      <c r="A479" s="279" t="s">
        <v>240</v>
      </c>
      <c r="B479" s="279"/>
      <c r="C479" s="279"/>
      <c r="D479" s="279"/>
    </row>
    <row r="480" spans="1:4" ht="23.25">
      <c r="A480" s="58" t="s">
        <v>2</v>
      </c>
      <c r="B480" s="45" t="s">
        <v>3</v>
      </c>
      <c r="C480" s="46" t="s">
        <v>4</v>
      </c>
      <c r="D480" s="46" t="s">
        <v>5</v>
      </c>
    </row>
    <row r="481" spans="1:4" ht="23.25">
      <c r="A481" s="48"/>
      <c r="B481" s="50" t="s">
        <v>6</v>
      </c>
      <c r="C481" s="47"/>
      <c r="D481" s="47"/>
    </row>
    <row r="482" spans="1:4" ht="23.25">
      <c r="A482" s="41" t="s">
        <v>9</v>
      </c>
      <c r="B482" s="87" t="s">
        <v>10</v>
      </c>
      <c r="C482" s="86">
        <v>65953.05</v>
      </c>
      <c r="D482" s="51"/>
    </row>
    <row r="483" spans="1:4" ht="23.25">
      <c r="A483" s="41" t="s">
        <v>11</v>
      </c>
      <c r="B483" s="87" t="s">
        <v>12</v>
      </c>
      <c r="C483" s="40">
        <v>4843559.42</v>
      </c>
      <c r="D483" s="51"/>
    </row>
    <row r="484" spans="1:4" ht="23.25">
      <c r="A484" s="41" t="s">
        <v>13</v>
      </c>
      <c r="B484" s="87" t="s">
        <v>12</v>
      </c>
      <c r="C484" s="40">
        <v>8289874.48</v>
      </c>
      <c r="D484" s="51"/>
    </row>
    <row r="485" spans="1:4" ht="23.25">
      <c r="A485" s="41" t="s">
        <v>14</v>
      </c>
      <c r="B485" s="87" t="s">
        <v>12</v>
      </c>
      <c r="C485" s="40">
        <v>209034.07</v>
      </c>
      <c r="D485" s="51"/>
    </row>
    <row r="486" spans="1:4" ht="23.25">
      <c r="A486" s="41" t="s">
        <v>112</v>
      </c>
      <c r="B486" s="87"/>
      <c r="C486" s="40">
        <v>0</v>
      </c>
      <c r="D486" s="51"/>
    </row>
    <row r="487" spans="1:4" ht="23.25">
      <c r="A487" s="41" t="s">
        <v>236</v>
      </c>
      <c r="B487" s="88"/>
      <c r="C487" s="40">
        <v>43203.03</v>
      </c>
      <c r="D487" s="51"/>
    </row>
    <row r="488" spans="1:4" ht="23.25">
      <c r="A488" s="41" t="s">
        <v>18</v>
      </c>
      <c r="B488" s="87" t="s">
        <v>19</v>
      </c>
      <c r="C488" s="40">
        <v>1143763.06</v>
      </c>
      <c r="D488" s="51"/>
    </row>
    <row r="489" spans="1:4" ht="23.25">
      <c r="A489" s="41" t="s">
        <v>20</v>
      </c>
      <c r="B489" s="88">
        <v>100</v>
      </c>
      <c r="C489" s="40">
        <v>3461112</v>
      </c>
      <c r="D489" s="51"/>
    </row>
    <row r="490" spans="1:4" ht="23.25">
      <c r="A490" s="41" t="s">
        <v>21</v>
      </c>
      <c r="B490" s="88">
        <v>120</v>
      </c>
      <c r="C490" s="40">
        <v>260400</v>
      </c>
      <c r="D490" s="51"/>
    </row>
    <row r="491" spans="1:4" ht="23.25">
      <c r="A491" s="41" t="s">
        <v>22</v>
      </c>
      <c r="B491" s="88">
        <v>130</v>
      </c>
      <c r="C491" s="40">
        <v>313509</v>
      </c>
      <c r="D491" s="51"/>
    </row>
    <row r="492" spans="1:4" ht="23.25">
      <c r="A492" s="41" t="s">
        <v>23</v>
      </c>
      <c r="B492" s="88">
        <v>200</v>
      </c>
      <c r="C492" s="40">
        <v>365577</v>
      </c>
      <c r="D492" s="51"/>
    </row>
    <row r="493" spans="1:4" ht="23.25">
      <c r="A493" s="41" t="s">
        <v>24</v>
      </c>
      <c r="B493" s="88">
        <v>250</v>
      </c>
      <c r="C493" s="40">
        <v>1382715</v>
      </c>
      <c r="D493" s="51"/>
    </row>
    <row r="494" spans="1:4" ht="23.25">
      <c r="A494" s="41" t="s">
        <v>25</v>
      </c>
      <c r="B494" s="88">
        <v>270</v>
      </c>
      <c r="C494" s="40">
        <v>1261524.26</v>
      </c>
      <c r="D494" s="51"/>
    </row>
    <row r="495" spans="1:4" ht="23.25">
      <c r="A495" s="41" t="s">
        <v>26</v>
      </c>
      <c r="B495" s="88">
        <v>300</v>
      </c>
      <c r="C495" s="40">
        <v>107067.46</v>
      </c>
      <c r="D495" s="51"/>
    </row>
    <row r="496" spans="1:4" ht="23.25">
      <c r="A496" s="41" t="s">
        <v>27</v>
      </c>
      <c r="B496" s="88">
        <v>400</v>
      </c>
      <c r="C496" s="86">
        <v>1494400</v>
      </c>
      <c r="D496" s="51"/>
    </row>
    <row r="497" spans="1:4" ht="23.25">
      <c r="A497" s="41" t="s">
        <v>30</v>
      </c>
      <c r="B497" s="88">
        <v>550</v>
      </c>
      <c r="C497" s="86">
        <v>25000</v>
      </c>
      <c r="D497" s="51"/>
    </row>
    <row r="498" spans="1:4" ht="23.25">
      <c r="A498" s="41" t="s">
        <v>28</v>
      </c>
      <c r="B498" s="88">
        <v>450</v>
      </c>
      <c r="C498" s="86">
        <v>26300</v>
      </c>
      <c r="D498" s="51"/>
    </row>
    <row r="499" spans="1:4" ht="23.25">
      <c r="A499" s="41" t="s">
        <v>172</v>
      </c>
      <c r="B499" s="87">
        <v>500</v>
      </c>
      <c r="C499" s="86">
        <f>15000+1404570</f>
        <v>1419570</v>
      </c>
      <c r="D499" s="51"/>
    </row>
    <row r="500" spans="1:4" ht="23.25">
      <c r="A500" s="41" t="s">
        <v>31</v>
      </c>
      <c r="B500" s="88"/>
      <c r="C500" s="40"/>
      <c r="D500" s="51">
        <f>'หมายเหตุ 1'!H481</f>
        <v>17811740.19</v>
      </c>
    </row>
    <row r="501" spans="1:4" ht="23.25">
      <c r="A501" s="76" t="s">
        <v>32</v>
      </c>
      <c r="B501" s="88"/>
      <c r="C501" s="40"/>
      <c r="D501" s="51">
        <f>'หมายเหตุ 2'!G10</f>
        <v>788481.75</v>
      </c>
    </row>
    <row r="502" spans="1:4" ht="23.25">
      <c r="A502" s="41" t="s">
        <v>33</v>
      </c>
      <c r="B502" s="88"/>
      <c r="C502" s="40"/>
      <c r="D502" s="51">
        <f>'หมายเหตุ 2'!G62</f>
        <v>0</v>
      </c>
    </row>
    <row r="503" spans="1:4" ht="23.25">
      <c r="A503" s="41" t="s">
        <v>34</v>
      </c>
      <c r="B503" s="88"/>
      <c r="C503" s="40"/>
      <c r="D503" s="51">
        <f>'หมายเหตุ 4'!I18</f>
        <v>159099.6200000001</v>
      </c>
    </row>
    <row r="504" spans="1:4" ht="23.25">
      <c r="A504" s="41" t="s">
        <v>188</v>
      </c>
      <c r="B504" s="88"/>
      <c r="C504" s="40"/>
      <c r="D504" s="51">
        <f>'หมายเหตุ 4'!I25</f>
        <v>204500</v>
      </c>
    </row>
    <row r="505" spans="1:4" ht="23.25">
      <c r="A505" s="41" t="s">
        <v>189</v>
      </c>
      <c r="B505" s="88"/>
      <c r="C505" s="40"/>
      <c r="D505" s="51">
        <f>'หมายเหตุ 4'!I34</f>
        <v>0</v>
      </c>
    </row>
    <row r="506" spans="1:4" ht="23.25">
      <c r="A506" s="41" t="s">
        <v>190</v>
      </c>
      <c r="B506" s="88"/>
      <c r="C506" s="40"/>
      <c r="D506" s="51">
        <f>หมายเหตุ6!J19</f>
        <v>24234</v>
      </c>
    </row>
    <row r="507" spans="1:4" ht="23.25">
      <c r="A507" s="41" t="s">
        <v>37</v>
      </c>
      <c r="B507" s="88"/>
      <c r="C507" s="40"/>
      <c r="D507" s="51">
        <v>1603480.21</v>
      </c>
    </row>
    <row r="508" spans="1:4" ht="23.25">
      <c r="A508" s="41" t="s">
        <v>38</v>
      </c>
      <c r="B508" s="88"/>
      <c r="C508" s="40"/>
      <c r="D508" s="51">
        <v>4121026.06</v>
      </c>
    </row>
    <row r="509" spans="1:4" ht="24" thickBot="1">
      <c r="A509" s="41"/>
      <c r="B509" s="88"/>
      <c r="C509" s="272">
        <f>SUM(C482:C508)</f>
        <v>24712561.830000002</v>
      </c>
      <c r="D509" s="272">
        <f>SUM(D500:D508)</f>
        <v>24712561.830000002</v>
      </c>
    </row>
    <row r="510" ht="13.5" thickTop="1"/>
  </sheetData>
  <sheetProtection/>
  <mergeCells count="42">
    <mergeCell ref="A477:D477"/>
    <mergeCell ref="A478:D478"/>
    <mergeCell ref="A479:D479"/>
    <mergeCell ref="A438:D438"/>
    <mergeCell ref="A439:D439"/>
    <mergeCell ref="A440:D440"/>
    <mergeCell ref="A399:D399"/>
    <mergeCell ref="A400:D400"/>
    <mergeCell ref="A401:D401"/>
    <mergeCell ref="A141:D141"/>
    <mergeCell ref="A281:D281"/>
    <mergeCell ref="A243:D243"/>
    <mergeCell ref="A244:D244"/>
    <mergeCell ref="A280:D280"/>
    <mergeCell ref="A140:D140"/>
    <mergeCell ref="A210:D210"/>
    <mergeCell ref="A174:D174"/>
    <mergeCell ref="A142:D142"/>
    <mergeCell ref="A173:D173"/>
    <mergeCell ref="A208:D208"/>
    <mergeCell ref="A209:D209"/>
    <mergeCell ref="A1:D1"/>
    <mergeCell ref="A2:D2"/>
    <mergeCell ref="A3:D3"/>
    <mergeCell ref="A36:D36"/>
    <mergeCell ref="A37:D37"/>
    <mergeCell ref="A38:D38"/>
    <mergeCell ref="A105:D105"/>
    <mergeCell ref="A106:D106"/>
    <mergeCell ref="A71:D71"/>
    <mergeCell ref="A72:D72"/>
    <mergeCell ref="A73:D73"/>
    <mergeCell ref="A107:D107"/>
    <mergeCell ref="A361:D361"/>
    <mergeCell ref="A362:D362"/>
    <mergeCell ref="A363:D363"/>
    <mergeCell ref="A175:D175"/>
    <mergeCell ref="A242:D242"/>
    <mergeCell ref="A279:D279"/>
    <mergeCell ref="A323:D323"/>
    <mergeCell ref="A324:D324"/>
    <mergeCell ref="A325:D325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1"/>
  <sheetViews>
    <sheetView zoomScalePageLayoutView="0" workbookViewId="0" topLeftCell="A391">
      <selection activeCell="G477" sqref="G477"/>
    </sheetView>
  </sheetViews>
  <sheetFormatPr defaultColWidth="9.140625" defaultRowHeight="12.75"/>
  <cols>
    <col min="5" max="5" width="10.00390625" style="0" customWidth="1"/>
    <col min="6" max="6" width="15.8515625" style="0" customWidth="1"/>
    <col min="7" max="7" width="14.57421875" style="0" customWidth="1"/>
    <col min="8" max="8" width="15.7109375" style="0" customWidth="1"/>
    <col min="14" max="14" width="12.8515625" style="0" bestFit="1" customWidth="1"/>
  </cols>
  <sheetData>
    <row r="1" spans="1:8" ht="23.25">
      <c r="A1" s="276" t="s">
        <v>39</v>
      </c>
      <c r="B1" s="276"/>
      <c r="C1" s="276"/>
      <c r="D1" s="276"/>
      <c r="E1" s="276"/>
      <c r="F1" s="276"/>
      <c r="G1" s="276"/>
      <c r="H1" s="276"/>
    </row>
    <row r="2" spans="1:8" ht="21">
      <c r="A2" s="273" t="s">
        <v>40</v>
      </c>
      <c r="B2" s="273"/>
      <c r="C2" s="273"/>
      <c r="D2" s="273"/>
      <c r="E2" s="273"/>
      <c r="F2" s="273"/>
      <c r="G2" s="273"/>
      <c r="H2" s="273"/>
    </row>
    <row r="3" spans="1:8" ht="21">
      <c r="A3" s="273" t="s">
        <v>191</v>
      </c>
      <c r="B3" s="273"/>
      <c r="C3" s="273"/>
      <c r="D3" s="273"/>
      <c r="E3" s="273"/>
      <c r="F3" s="273"/>
      <c r="G3" s="273"/>
      <c r="H3" s="273"/>
    </row>
    <row r="5" spans="1:8" ht="23.25">
      <c r="A5" s="274" t="s">
        <v>41</v>
      </c>
      <c r="B5" s="287"/>
      <c r="C5" s="287"/>
      <c r="D5" s="287"/>
      <c r="E5" s="288"/>
      <c r="F5" s="19" t="s">
        <v>42</v>
      </c>
      <c r="G5" s="19" t="s">
        <v>43</v>
      </c>
      <c r="H5" s="19" t="s">
        <v>44</v>
      </c>
    </row>
    <row r="6" spans="1:8" ht="23.25">
      <c r="A6" s="20" t="s">
        <v>45</v>
      </c>
      <c r="B6" s="21"/>
      <c r="C6" s="21"/>
      <c r="D6" s="21"/>
      <c r="E6" s="22"/>
      <c r="F6" s="23">
        <v>0</v>
      </c>
      <c r="G6" s="23">
        <v>0</v>
      </c>
      <c r="H6" s="23">
        <f aca="true" t="shared" si="0" ref="H6:H12">F6+G6</f>
        <v>0</v>
      </c>
    </row>
    <row r="7" spans="1:8" ht="23.25">
      <c r="A7" s="24" t="s">
        <v>46</v>
      </c>
      <c r="B7" s="25"/>
      <c r="C7" s="25"/>
      <c r="D7" s="25"/>
      <c r="E7" s="26"/>
      <c r="F7" s="27">
        <v>0</v>
      </c>
      <c r="G7" s="28">
        <v>158.34</v>
      </c>
      <c r="H7" s="27">
        <f t="shared" si="0"/>
        <v>158.34</v>
      </c>
    </row>
    <row r="8" spans="1:8" ht="23.25">
      <c r="A8" s="20" t="s">
        <v>47</v>
      </c>
      <c r="B8" s="21"/>
      <c r="C8" s="21"/>
      <c r="D8" s="21"/>
      <c r="E8" s="22"/>
      <c r="F8" s="23">
        <v>0</v>
      </c>
      <c r="G8" s="23">
        <v>0</v>
      </c>
      <c r="H8" s="23">
        <f t="shared" si="0"/>
        <v>0</v>
      </c>
    </row>
    <row r="9" spans="1:8" ht="23.25">
      <c r="A9" s="24" t="s">
        <v>48</v>
      </c>
      <c r="B9" s="25"/>
      <c r="C9" s="25"/>
      <c r="D9" s="25"/>
      <c r="E9" s="26"/>
      <c r="F9" s="27">
        <v>0</v>
      </c>
      <c r="G9" s="28">
        <v>0</v>
      </c>
      <c r="H9" s="27">
        <f t="shared" si="0"/>
        <v>0</v>
      </c>
    </row>
    <row r="10" spans="1:8" ht="23.25">
      <c r="A10" s="20" t="s">
        <v>49</v>
      </c>
      <c r="B10" s="21"/>
      <c r="C10" s="21"/>
      <c r="D10" s="21"/>
      <c r="E10" s="22"/>
      <c r="F10" s="23">
        <v>0</v>
      </c>
      <c r="G10" s="23">
        <v>0</v>
      </c>
      <c r="H10" s="23">
        <f t="shared" si="0"/>
        <v>0</v>
      </c>
    </row>
    <row r="11" spans="1:8" ht="23.25">
      <c r="A11" s="24" t="s">
        <v>50</v>
      </c>
      <c r="B11" s="25"/>
      <c r="C11" s="25"/>
      <c r="D11" s="25"/>
      <c r="E11" s="26"/>
      <c r="F11" s="27">
        <v>0</v>
      </c>
      <c r="G11" s="28">
        <v>0</v>
      </c>
      <c r="H11" s="27">
        <f t="shared" si="0"/>
        <v>0</v>
      </c>
    </row>
    <row r="12" spans="1:8" ht="23.25">
      <c r="A12" s="20" t="s">
        <v>51</v>
      </c>
      <c r="B12" s="21"/>
      <c r="C12" s="21"/>
      <c r="D12" s="21"/>
      <c r="E12" s="22"/>
      <c r="F12" s="23">
        <v>0</v>
      </c>
      <c r="G12" s="23">
        <v>0</v>
      </c>
      <c r="H12" s="23">
        <f t="shared" si="0"/>
        <v>0</v>
      </c>
    </row>
    <row r="13" spans="1:8" ht="23.25">
      <c r="A13" s="24" t="s">
        <v>52</v>
      </c>
      <c r="B13" s="25"/>
      <c r="C13" s="25"/>
      <c r="D13" s="25"/>
      <c r="E13" s="26"/>
      <c r="F13" s="27">
        <v>0</v>
      </c>
      <c r="G13" s="28">
        <v>0</v>
      </c>
      <c r="H13" s="27">
        <v>0</v>
      </c>
    </row>
    <row r="14" spans="1:8" ht="23.25">
      <c r="A14" s="20" t="s">
        <v>53</v>
      </c>
      <c r="B14" s="21"/>
      <c r="C14" s="21"/>
      <c r="D14" s="21"/>
      <c r="E14" s="22"/>
      <c r="F14" s="23">
        <v>0</v>
      </c>
      <c r="G14" s="23">
        <v>0</v>
      </c>
      <c r="H14" s="23">
        <f aca="true" t="shared" si="1" ref="H14:H29">F14+G14</f>
        <v>0</v>
      </c>
    </row>
    <row r="15" spans="1:8" ht="23.25">
      <c r="A15" s="24" t="s">
        <v>54</v>
      </c>
      <c r="B15" s="25"/>
      <c r="C15" s="25"/>
      <c r="D15" s="25"/>
      <c r="E15" s="26"/>
      <c r="F15" s="27">
        <v>0</v>
      </c>
      <c r="G15" s="28">
        <v>800</v>
      </c>
      <c r="H15" s="27">
        <f t="shared" si="1"/>
        <v>800</v>
      </c>
    </row>
    <row r="16" spans="1:8" ht="23.25">
      <c r="A16" s="20" t="s">
        <v>55</v>
      </c>
      <c r="B16" s="21"/>
      <c r="C16" s="21"/>
      <c r="D16" s="21"/>
      <c r="E16" s="22"/>
      <c r="F16" s="23">
        <v>0</v>
      </c>
      <c r="G16" s="23">
        <v>0</v>
      </c>
      <c r="H16" s="23">
        <f t="shared" si="1"/>
        <v>0</v>
      </c>
    </row>
    <row r="17" spans="1:8" ht="23.25">
      <c r="A17" s="24" t="s">
        <v>56</v>
      </c>
      <c r="B17" s="25"/>
      <c r="C17" s="25"/>
      <c r="D17" s="25"/>
      <c r="E17" s="26"/>
      <c r="F17" s="27">
        <v>0</v>
      </c>
      <c r="G17" s="28">
        <v>0</v>
      </c>
      <c r="H17" s="27">
        <f t="shared" si="1"/>
        <v>0</v>
      </c>
    </row>
    <row r="18" spans="1:8" ht="23.25">
      <c r="A18" s="20" t="s">
        <v>57</v>
      </c>
      <c r="B18" s="21"/>
      <c r="C18" s="21"/>
      <c r="D18" s="21"/>
      <c r="E18" s="22"/>
      <c r="F18" s="23">
        <v>0</v>
      </c>
      <c r="G18" s="23">
        <v>0</v>
      </c>
      <c r="H18" s="23">
        <f t="shared" si="1"/>
        <v>0</v>
      </c>
    </row>
    <row r="19" spans="1:8" ht="23.25">
      <c r="A19" s="24" t="s">
        <v>58</v>
      </c>
      <c r="B19" s="25"/>
      <c r="C19" s="25"/>
      <c r="D19" s="25"/>
      <c r="E19" s="26"/>
      <c r="F19" s="27">
        <v>0</v>
      </c>
      <c r="G19" s="28">
        <v>0</v>
      </c>
      <c r="H19" s="27">
        <f t="shared" si="1"/>
        <v>0</v>
      </c>
    </row>
    <row r="20" spans="1:8" ht="23.25">
      <c r="A20" s="20" t="s">
        <v>59</v>
      </c>
      <c r="B20" s="21"/>
      <c r="C20" s="21"/>
      <c r="D20" s="21"/>
      <c r="E20" s="22"/>
      <c r="F20" s="23">
        <v>0</v>
      </c>
      <c r="G20" s="23">
        <v>115102.35</v>
      </c>
      <c r="H20" s="23">
        <f t="shared" si="1"/>
        <v>115102.35</v>
      </c>
    </row>
    <row r="21" spans="1:8" ht="23.25">
      <c r="A21" s="24" t="s">
        <v>60</v>
      </c>
      <c r="B21" s="25"/>
      <c r="C21" s="25"/>
      <c r="D21" s="25"/>
      <c r="E21" s="26"/>
      <c r="F21" s="27">
        <v>0</v>
      </c>
      <c r="G21" s="28">
        <v>0</v>
      </c>
      <c r="H21" s="27">
        <f t="shared" si="1"/>
        <v>0</v>
      </c>
    </row>
    <row r="22" spans="1:8" ht="23.25">
      <c r="A22" s="20" t="s">
        <v>61</v>
      </c>
      <c r="B22" s="21"/>
      <c r="C22" s="21"/>
      <c r="D22" s="21"/>
      <c r="E22" s="22"/>
      <c r="F22" s="23">
        <v>0</v>
      </c>
      <c r="G22" s="23">
        <v>60221.39</v>
      </c>
      <c r="H22" s="23">
        <f t="shared" si="1"/>
        <v>60221.39</v>
      </c>
    </row>
    <row r="23" spans="1:8" ht="23.25">
      <c r="A23" s="24" t="s">
        <v>62</v>
      </c>
      <c r="B23" s="25"/>
      <c r="C23" s="25"/>
      <c r="D23" s="25"/>
      <c r="E23" s="26"/>
      <c r="F23" s="27">
        <v>0</v>
      </c>
      <c r="G23" s="28">
        <v>178715.31</v>
      </c>
      <c r="H23" s="27">
        <f t="shared" si="1"/>
        <v>178715.31</v>
      </c>
    </row>
    <row r="24" spans="1:8" ht="23.25">
      <c r="A24" s="20" t="s">
        <v>63</v>
      </c>
      <c r="B24" s="21"/>
      <c r="C24" s="21"/>
      <c r="D24" s="21"/>
      <c r="E24" s="22"/>
      <c r="F24" s="23">
        <v>0</v>
      </c>
      <c r="G24" s="23">
        <v>0</v>
      </c>
      <c r="H24" s="23">
        <f t="shared" si="1"/>
        <v>0</v>
      </c>
    </row>
    <row r="25" spans="1:8" ht="23.25">
      <c r="A25" s="24" t="s">
        <v>64</v>
      </c>
      <c r="B25" s="25"/>
      <c r="C25" s="25"/>
      <c r="D25" s="25"/>
      <c r="E25" s="26"/>
      <c r="F25" s="28">
        <v>0</v>
      </c>
      <c r="G25" s="28">
        <v>0</v>
      </c>
      <c r="H25" s="28">
        <f t="shared" si="1"/>
        <v>0</v>
      </c>
    </row>
    <row r="26" spans="1:8" ht="23.25">
      <c r="A26" s="20" t="s">
        <v>65</v>
      </c>
      <c r="B26" s="21"/>
      <c r="C26" s="21"/>
      <c r="D26" s="21"/>
      <c r="E26" s="22"/>
      <c r="F26" s="23">
        <f>D26+E26</f>
        <v>0</v>
      </c>
      <c r="G26" s="23">
        <v>0</v>
      </c>
      <c r="H26" s="23">
        <f t="shared" si="1"/>
        <v>0</v>
      </c>
    </row>
    <row r="27" spans="1:8" ht="23.25">
      <c r="A27" s="24" t="s">
        <v>66</v>
      </c>
      <c r="B27" s="25"/>
      <c r="C27" s="25"/>
      <c r="D27" s="25"/>
      <c r="E27" s="26"/>
      <c r="F27" s="27">
        <v>0</v>
      </c>
      <c r="G27" s="28">
        <v>29298</v>
      </c>
      <c r="H27" s="27">
        <f t="shared" si="1"/>
        <v>29298</v>
      </c>
    </row>
    <row r="28" spans="1:8" ht="23.25">
      <c r="A28" s="20" t="s">
        <v>67</v>
      </c>
      <c r="B28" s="21"/>
      <c r="C28" s="21"/>
      <c r="D28" s="21"/>
      <c r="E28" s="22"/>
      <c r="F28" s="23">
        <f>D28+E28</f>
        <v>0</v>
      </c>
      <c r="G28" s="23">
        <v>0</v>
      </c>
      <c r="H28" s="23">
        <f t="shared" si="1"/>
        <v>0</v>
      </c>
    </row>
    <row r="29" spans="1:8" ht="23.25">
      <c r="A29" s="24" t="s">
        <v>68</v>
      </c>
      <c r="B29" s="25"/>
      <c r="C29" s="25"/>
      <c r="D29" s="25"/>
      <c r="E29" s="26"/>
      <c r="F29" s="27">
        <v>0</v>
      </c>
      <c r="G29" s="28">
        <v>0</v>
      </c>
      <c r="H29" s="27">
        <f t="shared" si="1"/>
        <v>0</v>
      </c>
    </row>
    <row r="30" spans="1:8" ht="24" thickBot="1">
      <c r="A30" s="29"/>
      <c r="B30" s="29"/>
      <c r="C30" s="29"/>
      <c r="D30" s="29"/>
      <c r="E30" s="29"/>
      <c r="F30" s="30">
        <f>F6+F7+F8+F9+F10+F11+F12+F13+F14+F15+F16+F17+F18+F19+F20+F21+F22+F23+F24+F25+F26+F27+F28+F29</f>
        <v>0</v>
      </c>
      <c r="G30" s="30">
        <f>G6+G7+G8+G9+G10+G11+G12+G13+G14+G15+G16+G17+G18+G19+G20+G21+G22+G23+G24+G25+G26+G27+G28+G29</f>
        <v>384295.39</v>
      </c>
      <c r="H30" s="31">
        <f>H6+H7+H8+H9+H10+H11+H12+H13+H14+H15+H16+H17+H18+H19+H20+H21+H22+H23+H24+H25+H26+H27+H28+H29</f>
        <v>384295.39</v>
      </c>
    </row>
    <row r="31" spans="1:8" ht="24" thickTop="1">
      <c r="A31" s="29"/>
      <c r="B31" s="29"/>
      <c r="C31" s="29"/>
      <c r="D31" s="29"/>
      <c r="E31" s="29"/>
      <c r="F31" s="29"/>
      <c r="G31" s="29"/>
      <c r="H31" s="29"/>
    </row>
    <row r="32" spans="1:8" ht="23.25">
      <c r="A32" s="29"/>
      <c r="B32" s="29"/>
      <c r="C32" s="29"/>
      <c r="D32" s="29"/>
      <c r="E32" s="29"/>
      <c r="F32" s="29"/>
      <c r="G32" s="29"/>
      <c r="H32" s="29"/>
    </row>
    <row r="33" spans="1:8" ht="23.25">
      <c r="A33" s="29"/>
      <c r="B33" s="29"/>
      <c r="C33" s="29"/>
      <c r="D33" s="29"/>
      <c r="E33" s="29"/>
      <c r="F33" s="29"/>
      <c r="G33" s="29"/>
      <c r="H33" s="29"/>
    </row>
    <row r="34" spans="1:8" ht="23.25">
      <c r="A34" s="29"/>
      <c r="B34" s="29"/>
      <c r="C34" s="29"/>
      <c r="D34" s="29"/>
      <c r="E34" s="29"/>
      <c r="F34" s="29"/>
      <c r="G34" s="29"/>
      <c r="H34" s="29"/>
    </row>
    <row r="35" spans="1:8" ht="23.25">
      <c r="A35" s="29"/>
      <c r="B35" s="29"/>
      <c r="C35" s="29"/>
      <c r="D35" s="29"/>
      <c r="E35" s="29"/>
      <c r="F35" s="29"/>
      <c r="G35" s="29"/>
      <c r="H35" s="29"/>
    </row>
    <row r="36" spans="1:8" ht="23.25">
      <c r="A36" s="276" t="s">
        <v>39</v>
      </c>
      <c r="B36" s="276"/>
      <c r="C36" s="276"/>
      <c r="D36" s="276"/>
      <c r="E36" s="276"/>
      <c r="F36" s="276"/>
      <c r="G36" s="276"/>
      <c r="H36" s="276"/>
    </row>
    <row r="37" spans="1:8" ht="21">
      <c r="A37" s="273" t="s">
        <v>40</v>
      </c>
      <c r="B37" s="273"/>
      <c r="C37" s="273"/>
      <c r="D37" s="273"/>
      <c r="E37" s="273"/>
      <c r="F37" s="273"/>
      <c r="G37" s="273"/>
      <c r="H37" s="273"/>
    </row>
    <row r="38" spans="1:8" ht="21">
      <c r="A38" s="273" t="s">
        <v>196</v>
      </c>
      <c r="B38" s="273"/>
      <c r="C38" s="273"/>
      <c r="D38" s="273"/>
      <c r="E38" s="273"/>
      <c r="F38" s="273"/>
      <c r="G38" s="273"/>
      <c r="H38" s="273"/>
    </row>
    <row r="40" spans="1:8" ht="23.25">
      <c r="A40" s="274" t="s">
        <v>41</v>
      </c>
      <c r="B40" s="287"/>
      <c r="C40" s="287"/>
      <c r="D40" s="287"/>
      <c r="E40" s="288"/>
      <c r="F40" s="19" t="s">
        <v>42</v>
      </c>
      <c r="G40" s="19" t="s">
        <v>43</v>
      </c>
      <c r="H40" s="19" t="s">
        <v>44</v>
      </c>
    </row>
    <row r="41" spans="1:8" ht="23.25">
      <c r="A41" s="20" t="s">
        <v>45</v>
      </c>
      <c r="B41" s="21"/>
      <c r="C41" s="21"/>
      <c r="D41" s="21"/>
      <c r="E41" s="22"/>
      <c r="F41" s="23">
        <f aca="true" t="shared" si="2" ref="F41:F47">D41+E41</f>
        <v>0</v>
      </c>
      <c r="G41" s="23">
        <v>0</v>
      </c>
      <c r="H41" s="23">
        <f aca="true" t="shared" si="3" ref="H41:H47">F41+G41</f>
        <v>0</v>
      </c>
    </row>
    <row r="42" spans="1:8" ht="23.25">
      <c r="A42" s="24" t="s">
        <v>46</v>
      </c>
      <c r="B42" s="25"/>
      <c r="C42" s="25"/>
      <c r="D42" s="25"/>
      <c r="E42" s="26"/>
      <c r="F42" s="27">
        <v>158.34</v>
      </c>
      <c r="G42" s="28">
        <v>523.31</v>
      </c>
      <c r="H42" s="27">
        <f t="shared" si="3"/>
        <v>681.65</v>
      </c>
    </row>
    <row r="43" spans="1:8" ht="23.25">
      <c r="A43" s="20" t="s">
        <v>47</v>
      </c>
      <c r="B43" s="21"/>
      <c r="C43" s="21"/>
      <c r="D43" s="21"/>
      <c r="E43" s="22"/>
      <c r="F43" s="23">
        <f t="shared" si="2"/>
        <v>0</v>
      </c>
      <c r="G43" s="23">
        <v>0</v>
      </c>
      <c r="H43" s="23">
        <f t="shared" si="3"/>
        <v>0</v>
      </c>
    </row>
    <row r="44" spans="1:8" ht="23.25">
      <c r="A44" s="24" t="s">
        <v>48</v>
      </c>
      <c r="B44" s="25"/>
      <c r="C44" s="25"/>
      <c r="D44" s="25"/>
      <c r="E44" s="26"/>
      <c r="F44" s="27">
        <f t="shared" si="2"/>
        <v>0</v>
      </c>
      <c r="G44" s="28">
        <v>0</v>
      </c>
      <c r="H44" s="27">
        <f t="shared" si="3"/>
        <v>0</v>
      </c>
    </row>
    <row r="45" spans="1:8" ht="23.25">
      <c r="A45" s="20" t="s">
        <v>49</v>
      </c>
      <c r="B45" s="21"/>
      <c r="C45" s="21"/>
      <c r="D45" s="21"/>
      <c r="E45" s="22"/>
      <c r="F45" s="23">
        <f t="shared" si="2"/>
        <v>0</v>
      </c>
      <c r="G45" s="23">
        <v>0</v>
      </c>
      <c r="H45" s="23">
        <f t="shared" si="3"/>
        <v>0</v>
      </c>
    </row>
    <row r="46" spans="1:8" ht="23.25">
      <c r="A46" s="24" t="s">
        <v>50</v>
      </c>
      <c r="B46" s="25"/>
      <c r="C46" s="25"/>
      <c r="D46" s="25"/>
      <c r="E46" s="26"/>
      <c r="F46" s="27">
        <f t="shared" si="2"/>
        <v>0</v>
      </c>
      <c r="G46" s="28">
        <v>0</v>
      </c>
      <c r="H46" s="27">
        <f t="shared" si="3"/>
        <v>0</v>
      </c>
    </row>
    <row r="47" spans="1:8" ht="23.25">
      <c r="A47" s="20" t="s">
        <v>51</v>
      </c>
      <c r="B47" s="21"/>
      <c r="C47" s="21"/>
      <c r="D47" s="21"/>
      <c r="E47" s="22"/>
      <c r="F47" s="23">
        <f t="shared" si="2"/>
        <v>0</v>
      </c>
      <c r="G47" s="23">
        <v>300</v>
      </c>
      <c r="H47" s="23">
        <f t="shared" si="3"/>
        <v>300</v>
      </c>
    </row>
    <row r="48" spans="1:8" ht="23.25">
      <c r="A48" s="24" t="s">
        <v>52</v>
      </c>
      <c r="B48" s="25"/>
      <c r="C48" s="25"/>
      <c r="D48" s="25"/>
      <c r="E48" s="26"/>
      <c r="F48" s="27">
        <v>0</v>
      </c>
      <c r="G48" s="28">
        <v>0</v>
      </c>
      <c r="H48" s="27">
        <v>0</v>
      </c>
    </row>
    <row r="49" spans="1:8" ht="23.25">
      <c r="A49" s="20" t="s">
        <v>53</v>
      </c>
      <c r="B49" s="21"/>
      <c r="C49" s="21"/>
      <c r="D49" s="21"/>
      <c r="E49" s="22"/>
      <c r="F49" s="23">
        <f aca="true" t="shared" si="4" ref="F49:F64">D49+E49</f>
        <v>0</v>
      </c>
      <c r="G49" s="23">
        <v>0</v>
      </c>
      <c r="H49" s="23">
        <f aca="true" t="shared" si="5" ref="H49:H64">F49+G49</f>
        <v>0</v>
      </c>
    </row>
    <row r="50" spans="1:8" ht="23.25">
      <c r="A50" s="24" t="s">
        <v>54</v>
      </c>
      <c r="B50" s="25"/>
      <c r="C50" s="25"/>
      <c r="D50" s="25"/>
      <c r="E50" s="26"/>
      <c r="F50" s="27">
        <v>800</v>
      </c>
      <c r="G50" s="28">
        <v>0</v>
      </c>
      <c r="H50" s="27">
        <f t="shared" si="5"/>
        <v>800</v>
      </c>
    </row>
    <row r="51" spans="1:8" ht="23.25">
      <c r="A51" s="20" t="s">
        <v>55</v>
      </c>
      <c r="B51" s="21"/>
      <c r="C51" s="21"/>
      <c r="D51" s="21"/>
      <c r="E51" s="22"/>
      <c r="F51" s="23">
        <f t="shared" si="4"/>
        <v>0</v>
      </c>
      <c r="G51" s="23">
        <v>0</v>
      </c>
      <c r="H51" s="23">
        <f t="shared" si="5"/>
        <v>0</v>
      </c>
    </row>
    <row r="52" spans="1:8" ht="23.25">
      <c r="A52" s="24" t="s">
        <v>56</v>
      </c>
      <c r="B52" s="25"/>
      <c r="C52" s="25"/>
      <c r="D52" s="25"/>
      <c r="E52" s="26"/>
      <c r="F52" s="27">
        <f t="shared" si="4"/>
        <v>0</v>
      </c>
      <c r="G52" s="28">
        <v>0</v>
      </c>
      <c r="H52" s="27">
        <f t="shared" si="5"/>
        <v>0</v>
      </c>
    </row>
    <row r="53" spans="1:8" ht="23.25">
      <c r="A53" s="20" t="s">
        <v>57</v>
      </c>
      <c r="B53" s="21"/>
      <c r="C53" s="21"/>
      <c r="D53" s="21"/>
      <c r="E53" s="22"/>
      <c r="F53" s="23">
        <f t="shared" si="4"/>
        <v>0</v>
      </c>
      <c r="G53" s="23">
        <v>0</v>
      </c>
      <c r="H53" s="23">
        <f t="shared" si="5"/>
        <v>0</v>
      </c>
    </row>
    <row r="54" spans="1:8" ht="23.25">
      <c r="A54" s="24" t="s">
        <v>58</v>
      </c>
      <c r="B54" s="25"/>
      <c r="C54" s="25"/>
      <c r="D54" s="25"/>
      <c r="E54" s="26"/>
      <c r="F54" s="27">
        <f t="shared" si="4"/>
        <v>0</v>
      </c>
      <c r="G54" s="28">
        <v>0</v>
      </c>
      <c r="H54" s="27">
        <f t="shared" si="5"/>
        <v>0</v>
      </c>
    </row>
    <row r="55" spans="1:8" ht="23.25">
      <c r="A55" s="20" t="s">
        <v>59</v>
      </c>
      <c r="B55" s="21"/>
      <c r="C55" s="21"/>
      <c r="D55" s="21"/>
      <c r="E55" s="22"/>
      <c r="F55" s="23">
        <v>115102.35</v>
      </c>
      <c r="G55" s="23">
        <v>101194.4</v>
      </c>
      <c r="H55" s="23">
        <f t="shared" si="5"/>
        <v>216296.75</v>
      </c>
    </row>
    <row r="56" spans="1:8" ht="23.25">
      <c r="A56" s="24" t="s">
        <v>60</v>
      </c>
      <c r="B56" s="25"/>
      <c r="C56" s="25"/>
      <c r="D56" s="25"/>
      <c r="E56" s="26"/>
      <c r="F56" s="27">
        <f t="shared" si="4"/>
        <v>0</v>
      </c>
      <c r="G56" s="28">
        <v>0</v>
      </c>
      <c r="H56" s="27">
        <f t="shared" si="5"/>
        <v>0</v>
      </c>
    </row>
    <row r="57" spans="1:12" ht="23.25">
      <c r="A57" s="20" t="s">
        <v>61</v>
      </c>
      <c r="B57" s="21"/>
      <c r="C57" s="21"/>
      <c r="D57" s="21"/>
      <c r="E57" s="22"/>
      <c r="F57" s="23">
        <v>60221.39</v>
      </c>
      <c r="G57" s="23">
        <v>7911.66</v>
      </c>
      <c r="H57" s="23">
        <f t="shared" si="5"/>
        <v>68133.05</v>
      </c>
      <c r="L57">
        <v>2</v>
      </c>
    </row>
    <row r="58" spans="1:8" ht="23.25">
      <c r="A58" s="24" t="s">
        <v>62</v>
      </c>
      <c r="B58" s="25"/>
      <c r="C58" s="25"/>
      <c r="D58" s="25"/>
      <c r="E58" s="26"/>
      <c r="F58" s="27">
        <v>178715.31</v>
      </c>
      <c r="G58" s="28">
        <v>29543.08</v>
      </c>
      <c r="H58" s="27">
        <f t="shared" si="5"/>
        <v>208258.39</v>
      </c>
    </row>
    <row r="59" spans="1:8" ht="23.25">
      <c r="A59" s="20" t="s">
        <v>63</v>
      </c>
      <c r="B59" s="21"/>
      <c r="C59" s="21"/>
      <c r="D59" s="21"/>
      <c r="E59" s="22"/>
      <c r="F59" s="23">
        <f t="shared" si="4"/>
        <v>0</v>
      </c>
      <c r="G59" s="23">
        <v>0</v>
      </c>
      <c r="H59" s="23">
        <f t="shared" si="5"/>
        <v>0</v>
      </c>
    </row>
    <row r="60" spans="1:8" ht="23.25">
      <c r="A60" s="24" t="s">
        <v>64</v>
      </c>
      <c r="B60" s="25"/>
      <c r="C60" s="25"/>
      <c r="D60" s="25"/>
      <c r="E60" s="26"/>
      <c r="F60" s="28">
        <f t="shared" si="4"/>
        <v>0</v>
      </c>
      <c r="G60" s="28">
        <v>11519.03</v>
      </c>
      <c r="H60" s="28">
        <f t="shared" si="5"/>
        <v>11519.03</v>
      </c>
    </row>
    <row r="61" spans="1:8" ht="23.25">
      <c r="A61" s="20" t="s">
        <v>65</v>
      </c>
      <c r="B61" s="21"/>
      <c r="C61" s="21"/>
      <c r="D61" s="21"/>
      <c r="E61" s="22"/>
      <c r="F61" s="23">
        <v>0</v>
      </c>
      <c r="G61" s="23">
        <v>0</v>
      </c>
      <c r="H61" s="23">
        <f t="shared" si="5"/>
        <v>0</v>
      </c>
    </row>
    <row r="62" spans="1:8" ht="23.25">
      <c r="A62" s="24" t="s">
        <v>66</v>
      </c>
      <c r="B62" s="25"/>
      <c r="C62" s="25"/>
      <c r="D62" s="25"/>
      <c r="E62" s="26"/>
      <c r="F62" s="27">
        <v>29298</v>
      </c>
      <c r="G62" s="28">
        <v>43036</v>
      </c>
      <c r="H62" s="27">
        <f t="shared" si="5"/>
        <v>72334</v>
      </c>
    </row>
    <row r="63" spans="1:8" ht="23.25">
      <c r="A63" s="20" t="s">
        <v>67</v>
      </c>
      <c r="B63" s="21"/>
      <c r="C63" s="21"/>
      <c r="D63" s="21"/>
      <c r="E63" s="22"/>
      <c r="F63" s="23">
        <f t="shared" si="4"/>
        <v>0</v>
      </c>
      <c r="G63" s="23">
        <v>0</v>
      </c>
      <c r="H63" s="23">
        <f t="shared" si="5"/>
        <v>0</v>
      </c>
    </row>
    <row r="64" spans="1:8" ht="23.25">
      <c r="A64" s="24" t="s">
        <v>68</v>
      </c>
      <c r="B64" s="25"/>
      <c r="C64" s="25"/>
      <c r="D64" s="25"/>
      <c r="E64" s="26"/>
      <c r="F64" s="27">
        <f t="shared" si="4"/>
        <v>0</v>
      </c>
      <c r="G64" s="28">
        <v>0</v>
      </c>
      <c r="H64" s="27">
        <f t="shared" si="5"/>
        <v>0</v>
      </c>
    </row>
    <row r="65" spans="1:8" ht="24" thickBot="1">
      <c r="A65" s="29"/>
      <c r="B65" s="29"/>
      <c r="C65" s="29"/>
      <c r="D65" s="29"/>
      <c r="E65" s="29"/>
      <c r="F65" s="81">
        <f>F41+F42+F43+F44+F45+F46+F47+F48+F49+F50+F51+F52+F53+F54+F55+F56+F57+F58+F59+F60+F61+F62+F63+F64</f>
        <v>384295.39</v>
      </c>
      <c r="G65" s="30">
        <f>G41+G42+G43+G44+G45+G46+G47+G48+G49+G50+G51+G52+G53+G54+G55+G56+G57+G58+G59+G60+G61+G62+G63+G64</f>
        <v>194027.48</v>
      </c>
      <c r="H65" s="31">
        <f>H41+H42+H43+H44+H45+H46+H47+H48+H49+H50+H51+H52+H53+H54+H55+H56+H57+H58+H59+H60+H61+H62+H63+H64</f>
        <v>578322.8700000001</v>
      </c>
    </row>
    <row r="66" spans="1:8" ht="24" thickTop="1">
      <c r="A66" s="29"/>
      <c r="B66" s="29"/>
      <c r="C66" s="29"/>
      <c r="D66" s="29"/>
      <c r="E66" s="29"/>
      <c r="F66" s="29"/>
      <c r="G66" s="29"/>
      <c r="H66" s="29"/>
    </row>
    <row r="67" spans="1:8" ht="23.25">
      <c r="A67" s="29"/>
      <c r="B67" s="29"/>
      <c r="C67" s="29"/>
      <c r="D67" s="29"/>
      <c r="E67" s="29"/>
      <c r="F67" s="29"/>
      <c r="G67" s="29"/>
      <c r="H67" s="29"/>
    </row>
    <row r="68" spans="1:8" ht="23.25">
      <c r="A68" s="29"/>
      <c r="B68" s="29"/>
      <c r="C68" s="29"/>
      <c r="D68" s="29"/>
      <c r="E68" s="29"/>
      <c r="F68" s="29"/>
      <c r="G68" s="29"/>
      <c r="H68" s="29"/>
    </row>
    <row r="73" spans="1:8" ht="23.25">
      <c r="A73" s="276" t="s">
        <v>39</v>
      </c>
      <c r="B73" s="276"/>
      <c r="C73" s="276"/>
      <c r="D73" s="276"/>
      <c r="E73" s="276"/>
      <c r="F73" s="276"/>
      <c r="G73" s="276"/>
      <c r="H73" s="276"/>
    </row>
    <row r="74" spans="1:8" ht="21">
      <c r="A74" s="273" t="s">
        <v>40</v>
      </c>
      <c r="B74" s="273"/>
      <c r="C74" s="273"/>
      <c r="D74" s="273"/>
      <c r="E74" s="273"/>
      <c r="F74" s="273"/>
      <c r="G74" s="273"/>
      <c r="H74" s="273"/>
    </row>
    <row r="75" spans="1:8" ht="21">
      <c r="A75" s="273" t="s">
        <v>204</v>
      </c>
      <c r="B75" s="273"/>
      <c r="C75" s="273"/>
      <c r="D75" s="273"/>
      <c r="E75" s="273"/>
      <c r="F75" s="273"/>
      <c r="G75" s="273"/>
      <c r="H75" s="273"/>
    </row>
    <row r="77" spans="1:8" ht="23.25">
      <c r="A77" s="274" t="s">
        <v>41</v>
      </c>
      <c r="B77" s="287"/>
      <c r="C77" s="287"/>
      <c r="D77" s="287"/>
      <c r="E77" s="288"/>
      <c r="F77" s="19" t="s">
        <v>42</v>
      </c>
      <c r="G77" s="19" t="s">
        <v>43</v>
      </c>
      <c r="H77" s="19" t="s">
        <v>44</v>
      </c>
    </row>
    <row r="78" spans="1:8" ht="23.25">
      <c r="A78" s="20" t="s">
        <v>45</v>
      </c>
      <c r="B78" s="21"/>
      <c r="C78" s="21"/>
      <c r="D78" s="21"/>
      <c r="E78" s="22"/>
      <c r="F78" s="23">
        <f>D78+E78</f>
        <v>0</v>
      </c>
      <c r="G78" s="23">
        <v>8588</v>
      </c>
      <c r="H78" s="23">
        <f aca="true" t="shared" si="6" ref="H78:H84">F78+G78</f>
        <v>8588</v>
      </c>
    </row>
    <row r="79" spans="1:8" ht="23.25">
      <c r="A79" s="24" t="s">
        <v>46</v>
      </c>
      <c r="B79" s="25"/>
      <c r="C79" s="25"/>
      <c r="D79" s="25"/>
      <c r="E79" s="26"/>
      <c r="F79" s="27">
        <v>707.73</v>
      </c>
      <c r="G79" s="28">
        <v>408.44</v>
      </c>
      <c r="H79" s="27">
        <f t="shared" si="6"/>
        <v>1116.17</v>
      </c>
    </row>
    <row r="80" spans="1:8" ht="23.25">
      <c r="A80" s="20" t="s">
        <v>47</v>
      </c>
      <c r="B80" s="21"/>
      <c r="C80" s="21"/>
      <c r="D80" s="21"/>
      <c r="E80" s="22"/>
      <c r="F80" s="23">
        <f>D80+E80</f>
        <v>0</v>
      </c>
      <c r="G80" s="23">
        <v>200</v>
      </c>
      <c r="H80" s="23">
        <f t="shared" si="6"/>
        <v>200</v>
      </c>
    </row>
    <row r="81" spans="1:8" ht="23.25">
      <c r="A81" s="24" t="s">
        <v>48</v>
      </c>
      <c r="B81" s="25"/>
      <c r="C81" s="25"/>
      <c r="D81" s="25"/>
      <c r="E81" s="26"/>
      <c r="F81" s="27">
        <f>D81+E81</f>
        <v>0</v>
      </c>
      <c r="G81" s="28">
        <v>0</v>
      </c>
      <c r="H81" s="27">
        <f t="shared" si="6"/>
        <v>0</v>
      </c>
    </row>
    <row r="82" spans="1:8" ht="23.25">
      <c r="A82" s="20" t="s">
        <v>49</v>
      </c>
      <c r="B82" s="21"/>
      <c r="C82" s="21"/>
      <c r="D82" s="21"/>
      <c r="E82" s="22"/>
      <c r="F82" s="23">
        <f>D82+E82</f>
        <v>0</v>
      </c>
      <c r="G82" s="23">
        <v>0</v>
      </c>
      <c r="H82" s="23">
        <f t="shared" si="6"/>
        <v>0</v>
      </c>
    </row>
    <row r="83" spans="1:8" ht="23.25">
      <c r="A83" s="24" t="s">
        <v>50</v>
      </c>
      <c r="B83" s="25"/>
      <c r="C83" s="25"/>
      <c r="D83" s="25"/>
      <c r="E83" s="26"/>
      <c r="F83" s="27">
        <f>D83+E83</f>
        <v>0</v>
      </c>
      <c r="G83" s="28">
        <v>0</v>
      </c>
      <c r="H83" s="27">
        <f t="shared" si="6"/>
        <v>0</v>
      </c>
    </row>
    <row r="84" spans="1:8" ht="23.25">
      <c r="A84" s="20" t="s">
        <v>51</v>
      </c>
      <c r="B84" s="21"/>
      <c r="C84" s="21"/>
      <c r="D84" s="21"/>
      <c r="E84" s="22"/>
      <c r="F84" s="23">
        <v>300</v>
      </c>
      <c r="G84" s="23">
        <v>0</v>
      </c>
      <c r="H84" s="23">
        <f t="shared" si="6"/>
        <v>300</v>
      </c>
    </row>
    <row r="85" spans="1:8" ht="23.25">
      <c r="A85" s="24" t="s">
        <v>52</v>
      </c>
      <c r="B85" s="25"/>
      <c r="C85" s="25"/>
      <c r="D85" s="25"/>
      <c r="E85" s="26"/>
      <c r="F85" s="27">
        <v>0</v>
      </c>
      <c r="G85" s="28">
        <v>0</v>
      </c>
      <c r="H85" s="27">
        <v>0</v>
      </c>
    </row>
    <row r="86" spans="1:8" ht="23.25">
      <c r="A86" s="20" t="s">
        <v>53</v>
      </c>
      <c r="B86" s="21"/>
      <c r="C86" s="21"/>
      <c r="D86" s="21"/>
      <c r="E86" s="22"/>
      <c r="F86" s="23">
        <v>2149</v>
      </c>
      <c r="G86" s="23">
        <v>9828</v>
      </c>
      <c r="H86" s="23">
        <f aca="true" t="shared" si="7" ref="H86:H101">F86+G86</f>
        <v>11977</v>
      </c>
    </row>
    <row r="87" spans="1:8" ht="23.25">
      <c r="A87" s="24" t="s">
        <v>54</v>
      </c>
      <c r="B87" s="25"/>
      <c r="C87" s="25"/>
      <c r="D87" s="25"/>
      <c r="E87" s="26"/>
      <c r="F87" s="27">
        <v>800</v>
      </c>
      <c r="G87" s="28">
        <v>0</v>
      </c>
      <c r="H87" s="27">
        <f>F87+G87</f>
        <v>800</v>
      </c>
    </row>
    <row r="88" spans="1:8" ht="23.25">
      <c r="A88" s="20" t="s">
        <v>55</v>
      </c>
      <c r="B88" s="21"/>
      <c r="C88" s="21"/>
      <c r="D88" s="21"/>
      <c r="E88" s="22"/>
      <c r="F88" s="23">
        <f>D88+E88</f>
        <v>0</v>
      </c>
      <c r="G88" s="23">
        <v>1167.19</v>
      </c>
      <c r="H88" s="23">
        <f t="shared" si="7"/>
        <v>1167.19</v>
      </c>
    </row>
    <row r="89" spans="1:8" ht="23.25">
      <c r="A89" s="24" t="s">
        <v>56</v>
      </c>
      <c r="B89" s="25"/>
      <c r="C89" s="25"/>
      <c r="D89" s="25"/>
      <c r="E89" s="26"/>
      <c r="F89" s="27">
        <f>D89+E89</f>
        <v>0</v>
      </c>
      <c r="G89" s="28">
        <v>0</v>
      </c>
      <c r="H89" s="27">
        <f t="shared" si="7"/>
        <v>0</v>
      </c>
    </row>
    <row r="90" spans="1:8" ht="23.25">
      <c r="A90" s="20" t="s">
        <v>57</v>
      </c>
      <c r="B90" s="21"/>
      <c r="C90" s="21"/>
      <c r="D90" s="21"/>
      <c r="E90" s="22"/>
      <c r="F90" s="23">
        <f>D90+E90</f>
        <v>0</v>
      </c>
      <c r="G90" s="23">
        <v>839</v>
      </c>
      <c r="H90" s="23">
        <f t="shared" si="7"/>
        <v>839</v>
      </c>
    </row>
    <row r="91" spans="1:8" ht="23.25">
      <c r="A91" s="24" t="s">
        <v>58</v>
      </c>
      <c r="B91" s="25"/>
      <c r="C91" s="25"/>
      <c r="D91" s="25"/>
      <c r="E91" s="26"/>
      <c r="F91" s="27">
        <v>761968.77</v>
      </c>
      <c r="G91" s="28">
        <v>0</v>
      </c>
      <c r="H91" s="27">
        <f t="shared" si="7"/>
        <v>761968.77</v>
      </c>
    </row>
    <row r="92" spans="1:12" ht="23.25">
      <c r="A92" s="20" t="s">
        <v>59</v>
      </c>
      <c r="B92" s="21"/>
      <c r="C92" s="21"/>
      <c r="D92" s="21"/>
      <c r="E92" s="22"/>
      <c r="F92" s="23">
        <v>341576.58</v>
      </c>
      <c r="G92" s="23">
        <v>129366.56</v>
      </c>
      <c r="H92" s="23">
        <f t="shared" si="7"/>
        <v>470943.14</v>
      </c>
      <c r="L92">
        <v>3</v>
      </c>
    </row>
    <row r="93" spans="1:8" ht="23.25">
      <c r="A93" s="24" t="s">
        <v>60</v>
      </c>
      <c r="B93" s="25"/>
      <c r="C93" s="25"/>
      <c r="D93" s="25"/>
      <c r="E93" s="26"/>
      <c r="F93" s="27">
        <f>D93+E93</f>
        <v>0</v>
      </c>
      <c r="G93" s="28">
        <v>11688.31</v>
      </c>
      <c r="H93" s="27">
        <f t="shared" si="7"/>
        <v>11688.31</v>
      </c>
    </row>
    <row r="94" spans="1:8" ht="23.25">
      <c r="A94" s="20" t="s">
        <v>61</v>
      </c>
      <c r="B94" s="21"/>
      <c r="C94" s="21"/>
      <c r="D94" s="21"/>
      <c r="E94" s="22"/>
      <c r="F94" s="23">
        <v>190305.96</v>
      </c>
      <c r="G94" s="23">
        <v>85370.89</v>
      </c>
      <c r="H94" s="23">
        <f t="shared" si="7"/>
        <v>275676.85</v>
      </c>
    </row>
    <row r="95" spans="1:8" ht="23.25">
      <c r="A95" s="24" t="s">
        <v>62</v>
      </c>
      <c r="B95" s="25"/>
      <c r="C95" s="25"/>
      <c r="D95" s="25"/>
      <c r="E95" s="26"/>
      <c r="F95" s="27">
        <v>524956.64</v>
      </c>
      <c r="G95" s="28">
        <v>193403.13</v>
      </c>
      <c r="H95" s="27">
        <f t="shared" si="7"/>
        <v>718359.77</v>
      </c>
    </row>
    <row r="96" spans="1:8" ht="23.25">
      <c r="A96" s="20" t="s">
        <v>63</v>
      </c>
      <c r="B96" s="21"/>
      <c r="C96" s="21"/>
      <c r="D96" s="21"/>
      <c r="E96" s="22"/>
      <c r="F96" s="23">
        <v>37218.59</v>
      </c>
      <c r="G96" s="23">
        <v>0</v>
      </c>
      <c r="H96" s="23">
        <f t="shared" si="7"/>
        <v>37218.59</v>
      </c>
    </row>
    <row r="97" spans="1:8" ht="23.25">
      <c r="A97" s="24" t="s">
        <v>64</v>
      </c>
      <c r="B97" s="25"/>
      <c r="C97" s="25"/>
      <c r="D97" s="25"/>
      <c r="E97" s="26"/>
      <c r="F97" s="28">
        <v>11519.03</v>
      </c>
      <c r="G97" s="28">
        <v>0</v>
      </c>
      <c r="H97" s="28">
        <f t="shared" si="7"/>
        <v>11519.03</v>
      </c>
    </row>
    <row r="98" spans="1:8" ht="23.25">
      <c r="A98" s="20" t="s">
        <v>65</v>
      </c>
      <c r="B98" s="21"/>
      <c r="C98" s="21"/>
      <c r="D98" s="21"/>
      <c r="E98" s="22"/>
      <c r="F98" s="23">
        <v>0</v>
      </c>
      <c r="G98" s="23">
        <v>0</v>
      </c>
      <c r="H98" s="23">
        <f t="shared" si="7"/>
        <v>0</v>
      </c>
    </row>
    <row r="99" spans="1:8" ht="23.25">
      <c r="A99" s="24" t="s">
        <v>66</v>
      </c>
      <c r="B99" s="25"/>
      <c r="C99" s="25"/>
      <c r="D99" s="25"/>
      <c r="E99" s="26"/>
      <c r="F99" s="27">
        <v>103968</v>
      </c>
      <c r="G99" s="28">
        <v>33177</v>
      </c>
      <c r="H99" s="27">
        <f t="shared" si="7"/>
        <v>137145</v>
      </c>
    </row>
    <row r="100" spans="1:8" ht="23.25">
      <c r="A100" s="20" t="s">
        <v>67</v>
      </c>
      <c r="B100" s="21"/>
      <c r="C100" s="21"/>
      <c r="D100" s="21"/>
      <c r="E100" s="22"/>
      <c r="F100" s="23">
        <f>D100+E100</f>
        <v>0</v>
      </c>
      <c r="G100" s="23">
        <v>0</v>
      </c>
      <c r="H100" s="23">
        <f t="shared" si="7"/>
        <v>0</v>
      </c>
    </row>
    <row r="101" spans="1:8" ht="23.25">
      <c r="A101" s="24" t="s">
        <v>68</v>
      </c>
      <c r="B101" s="25"/>
      <c r="C101" s="25"/>
      <c r="D101" s="25"/>
      <c r="E101" s="26"/>
      <c r="F101" s="27">
        <f>D101+E101</f>
        <v>0</v>
      </c>
      <c r="G101" s="28">
        <v>3722599</v>
      </c>
      <c r="H101" s="27">
        <f t="shared" si="7"/>
        <v>3722599</v>
      </c>
    </row>
    <row r="102" spans="1:8" ht="24" thickBot="1">
      <c r="A102" s="29"/>
      <c r="B102" s="29"/>
      <c r="C102" s="29"/>
      <c r="D102" s="29"/>
      <c r="E102" s="29"/>
      <c r="F102" s="81">
        <f>F78+F79+F80+F81+F82+F83+F84+F85+F86+F87+F88+F89+F90+F91+F92+F93+F94+F95+F96+F97+F98+F99+F100+F101</f>
        <v>1975470.3000000003</v>
      </c>
      <c r="G102" s="30">
        <f>G78+G79+G80+G81+G82+G83+G84+G85+G86+G87+G88+G89+G90+G91+G92+G93+G94+G95+G96+G97+G98+G99+G100+G101</f>
        <v>4196635.52</v>
      </c>
      <c r="H102" s="31">
        <f>H78+H79+H80+H81+H82+H83+H84+H85+H86+H87+H88+H89+H90+H91+H92+H93+H94+H95+H96+H97+H98+H99+H100+H101</f>
        <v>6172105.82</v>
      </c>
    </row>
    <row r="103" ht="13.5" thickTop="1"/>
    <row r="113" spans="1:8" ht="23.25">
      <c r="A113" s="276" t="s">
        <v>39</v>
      </c>
      <c r="B113" s="276"/>
      <c r="C113" s="276"/>
      <c r="D113" s="276"/>
      <c r="E113" s="276"/>
      <c r="F113" s="276"/>
      <c r="G113" s="276"/>
      <c r="H113" s="276"/>
    </row>
    <row r="114" spans="1:8" ht="21">
      <c r="A114" s="273" t="s">
        <v>40</v>
      </c>
      <c r="B114" s="273"/>
      <c r="C114" s="273"/>
      <c r="D114" s="273"/>
      <c r="E114" s="273"/>
      <c r="F114" s="273"/>
      <c r="G114" s="273"/>
      <c r="H114" s="273"/>
    </row>
    <row r="115" spans="1:8" ht="21">
      <c r="A115" s="273" t="s">
        <v>210</v>
      </c>
      <c r="B115" s="273"/>
      <c r="C115" s="273"/>
      <c r="D115" s="273"/>
      <c r="E115" s="273"/>
      <c r="F115" s="273"/>
      <c r="G115" s="273"/>
      <c r="H115" s="273"/>
    </row>
    <row r="117" spans="1:8" ht="23.25">
      <c r="A117" s="274" t="s">
        <v>41</v>
      </c>
      <c r="B117" s="287"/>
      <c r="C117" s="287"/>
      <c r="D117" s="287"/>
      <c r="E117" s="288"/>
      <c r="F117" s="19" t="s">
        <v>42</v>
      </c>
      <c r="G117" s="19" t="s">
        <v>43</v>
      </c>
      <c r="H117" s="19" t="s">
        <v>44</v>
      </c>
    </row>
    <row r="118" spans="1:8" ht="23.25">
      <c r="A118" s="20" t="s">
        <v>45</v>
      </c>
      <c r="B118" s="21"/>
      <c r="C118" s="21"/>
      <c r="D118" s="21"/>
      <c r="E118" s="22"/>
      <c r="F118" s="23">
        <f>D118+E118</f>
        <v>0</v>
      </c>
      <c r="G118" s="23">
        <v>8588</v>
      </c>
      <c r="H118" s="23">
        <f aca="true" t="shared" si="8" ref="H118:H124">F118+G118</f>
        <v>8588</v>
      </c>
    </row>
    <row r="119" spans="1:8" ht="23.25">
      <c r="A119" s="24" t="s">
        <v>46</v>
      </c>
      <c r="B119" s="25"/>
      <c r="C119" s="25"/>
      <c r="D119" s="25"/>
      <c r="E119" s="26"/>
      <c r="F119" s="27">
        <v>707.73</v>
      </c>
      <c r="G119" s="28">
        <v>408.44</v>
      </c>
      <c r="H119" s="27">
        <f t="shared" si="8"/>
        <v>1116.17</v>
      </c>
    </row>
    <row r="120" spans="1:8" ht="23.25">
      <c r="A120" s="20" t="s">
        <v>47</v>
      </c>
      <c r="B120" s="21"/>
      <c r="C120" s="21"/>
      <c r="D120" s="21"/>
      <c r="E120" s="22"/>
      <c r="F120" s="23">
        <f>D120+E120</f>
        <v>0</v>
      </c>
      <c r="G120" s="23">
        <v>200</v>
      </c>
      <c r="H120" s="23">
        <f t="shared" si="8"/>
        <v>200</v>
      </c>
    </row>
    <row r="121" spans="1:8" ht="23.25">
      <c r="A121" s="24" t="s">
        <v>48</v>
      </c>
      <c r="B121" s="25"/>
      <c r="C121" s="25"/>
      <c r="D121" s="25"/>
      <c r="E121" s="26"/>
      <c r="F121" s="27">
        <f>D121+E121</f>
        <v>0</v>
      </c>
      <c r="G121" s="28">
        <v>0</v>
      </c>
      <c r="H121" s="27">
        <f t="shared" si="8"/>
        <v>0</v>
      </c>
    </row>
    <row r="122" spans="1:8" ht="23.25">
      <c r="A122" s="20" t="s">
        <v>49</v>
      </c>
      <c r="B122" s="21"/>
      <c r="C122" s="21"/>
      <c r="D122" s="21"/>
      <c r="E122" s="22"/>
      <c r="F122" s="23">
        <f>D122+E122</f>
        <v>0</v>
      </c>
      <c r="G122" s="23">
        <v>0</v>
      </c>
      <c r="H122" s="23">
        <f t="shared" si="8"/>
        <v>0</v>
      </c>
    </row>
    <row r="123" spans="1:11" ht="23.25">
      <c r="A123" s="24" t="s">
        <v>50</v>
      </c>
      <c r="B123" s="25"/>
      <c r="C123" s="25"/>
      <c r="D123" s="25"/>
      <c r="E123" s="26"/>
      <c r="F123" s="27">
        <f>D123+E123</f>
        <v>0</v>
      </c>
      <c r="G123" s="28">
        <v>0</v>
      </c>
      <c r="H123" s="27">
        <f t="shared" si="8"/>
        <v>0</v>
      </c>
      <c r="K123">
        <v>4</v>
      </c>
    </row>
    <row r="124" spans="1:8" ht="23.25">
      <c r="A124" s="20" t="s">
        <v>51</v>
      </c>
      <c r="B124" s="21"/>
      <c r="C124" s="21"/>
      <c r="D124" s="21"/>
      <c r="E124" s="22"/>
      <c r="F124" s="23">
        <v>300</v>
      </c>
      <c r="G124" s="23">
        <v>0</v>
      </c>
      <c r="H124" s="23">
        <f t="shared" si="8"/>
        <v>300</v>
      </c>
    </row>
    <row r="125" spans="1:8" ht="23.25">
      <c r="A125" s="24" t="s">
        <v>52</v>
      </c>
      <c r="B125" s="25"/>
      <c r="C125" s="25"/>
      <c r="D125" s="25"/>
      <c r="E125" s="26"/>
      <c r="F125" s="27">
        <v>0</v>
      </c>
      <c r="G125" s="28">
        <v>0</v>
      </c>
      <c r="H125" s="27">
        <v>0</v>
      </c>
    </row>
    <row r="126" spans="1:8" ht="23.25">
      <c r="A126" s="20" t="s">
        <v>53</v>
      </c>
      <c r="B126" s="21"/>
      <c r="C126" s="21"/>
      <c r="D126" s="21"/>
      <c r="E126" s="22"/>
      <c r="F126" s="23">
        <v>2149</v>
      </c>
      <c r="G126" s="23">
        <v>9828</v>
      </c>
      <c r="H126" s="23">
        <f>F126+G126</f>
        <v>11977</v>
      </c>
    </row>
    <row r="127" spans="1:8" ht="23.25">
      <c r="A127" s="24" t="s">
        <v>54</v>
      </c>
      <c r="B127" s="25"/>
      <c r="C127" s="25"/>
      <c r="D127" s="25"/>
      <c r="E127" s="26"/>
      <c r="F127" s="27">
        <v>800</v>
      </c>
      <c r="G127" s="28">
        <v>0</v>
      </c>
      <c r="H127" s="27">
        <f>F127+G127</f>
        <v>800</v>
      </c>
    </row>
    <row r="128" spans="1:8" ht="23.25">
      <c r="A128" s="20" t="s">
        <v>55</v>
      </c>
      <c r="B128" s="21"/>
      <c r="C128" s="21"/>
      <c r="D128" s="21"/>
      <c r="E128" s="22"/>
      <c r="F128" s="23">
        <f>D128+E128</f>
        <v>0</v>
      </c>
      <c r="G128" s="23">
        <v>1167.19</v>
      </c>
      <c r="H128" s="23">
        <f aca="true" t="shared" si="9" ref="H128:H141">F128+G128</f>
        <v>1167.19</v>
      </c>
    </row>
    <row r="129" spans="1:8" ht="23.25">
      <c r="A129" s="24" t="s">
        <v>56</v>
      </c>
      <c r="B129" s="25"/>
      <c r="C129" s="25"/>
      <c r="D129" s="25"/>
      <c r="E129" s="26"/>
      <c r="F129" s="27">
        <f>D129+E129</f>
        <v>0</v>
      </c>
      <c r="G129" s="28">
        <v>0</v>
      </c>
      <c r="H129" s="27">
        <f t="shared" si="9"/>
        <v>0</v>
      </c>
    </row>
    <row r="130" spans="1:8" ht="23.25">
      <c r="A130" s="20" t="s">
        <v>57</v>
      </c>
      <c r="B130" s="21"/>
      <c r="C130" s="21"/>
      <c r="D130" s="21"/>
      <c r="E130" s="22"/>
      <c r="F130" s="23">
        <f>D130+E130</f>
        <v>0</v>
      </c>
      <c r="G130" s="23">
        <v>839</v>
      </c>
      <c r="H130" s="23">
        <f t="shared" si="9"/>
        <v>839</v>
      </c>
    </row>
    <row r="131" spans="1:8" ht="23.25">
      <c r="A131" s="24" t="s">
        <v>58</v>
      </c>
      <c r="B131" s="25"/>
      <c r="C131" s="25"/>
      <c r="D131" s="25"/>
      <c r="E131" s="26"/>
      <c r="F131" s="27">
        <v>761968.77</v>
      </c>
      <c r="G131" s="28">
        <v>0</v>
      </c>
      <c r="H131" s="27">
        <f t="shared" si="9"/>
        <v>761968.77</v>
      </c>
    </row>
    <row r="132" spans="1:8" ht="23.25">
      <c r="A132" s="20" t="s">
        <v>59</v>
      </c>
      <c r="B132" s="21"/>
      <c r="C132" s="21"/>
      <c r="D132" s="21"/>
      <c r="E132" s="22"/>
      <c r="F132" s="23">
        <v>341576.58</v>
      </c>
      <c r="G132" s="23">
        <v>129366.56</v>
      </c>
      <c r="H132" s="23">
        <f t="shared" si="9"/>
        <v>470943.14</v>
      </c>
    </row>
    <row r="133" spans="1:8" ht="23.25">
      <c r="A133" s="24" t="s">
        <v>60</v>
      </c>
      <c r="B133" s="25"/>
      <c r="C133" s="25"/>
      <c r="D133" s="25"/>
      <c r="E133" s="26"/>
      <c r="F133" s="27">
        <f>D133+E133</f>
        <v>0</v>
      </c>
      <c r="G133" s="28">
        <v>11688.31</v>
      </c>
      <c r="H133" s="27">
        <f t="shared" si="9"/>
        <v>11688.31</v>
      </c>
    </row>
    <row r="134" spans="1:8" ht="23.25">
      <c r="A134" s="20" t="s">
        <v>61</v>
      </c>
      <c r="B134" s="21"/>
      <c r="C134" s="21"/>
      <c r="D134" s="21"/>
      <c r="E134" s="22"/>
      <c r="F134" s="23">
        <v>190305.96</v>
      </c>
      <c r="G134" s="23">
        <v>85370.89</v>
      </c>
      <c r="H134" s="23">
        <f t="shared" si="9"/>
        <v>275676.85</v>
      </c>
    </row>
    <row r="135" spans="1:8" ht="23.25">
      <c r="A135" s="24" t="s">
        <v>62</v>
      </c>
      <c r="B135" s="25"/>
      <c r="C135" s="25"/>
      <c r="D135" s="25"/>
      <c r="E135" s="26"/>
      <c r="F135" s="27">
        <v>524956.64</v>
      </c>
      <c r="G135" s="28">
        <v>193403.13</v>
      </c>
      <c r="H135" s="27">
        <f t="shared" si="9"/>
        <v>718359.77</v>
      </c>
    </row>
    <row r="136" spans="1:8" ht="23.25">
      <c r="A136" s="20" t="s">
        <v>63</v>
      </c>
      <c r="B136" s="21"/>
      <c r="C136" s="21"/>
      <c r="D136" s="21"/>
      <c r="E136" s="22"/>
      <c r="F136" s="23">
        <v>37218.59</v>
      </c>
      <c r="G136" s="23">
        <v>0</v>
      </c>
      <c r="H136" s="23">
        <f t="shared" si="9"/>
        <v>37218.59</v>
      </c>
    </row>
    <row r="137" spans="1:8" ht="23.25">
      <c r="A137" s="24" t="s">
        <v>64</v>
      </c>
      <c r="B137" s="25"/>
      <c r="C137" s="25"/>
      <c r="D137" s="25"/>
      <c r="E137" s="26"/>
      <c r="F137" s="28">
        <v>11519.03</v>
      </c>
      <c r="G137" s="28">
        <v>0</v>
      </c>
      <c r="H137" s="28">
        <f t="shared" si="9"/>
        <v>11519.03</v>
      </c>
    </row>
    <row r="138" spans="1:11" ht="23.25">
      <c r="A138" s="20" t="s">
        <v>65</v>
      </c>
      <c r="B138" s="21"/>
      <c r="C138" s="21"/>
      <c r="D138" s="21"/>
      <c r="E138" s="22"/>
      <c r="F138" s="23">
        <v>0</v>
      </c>
      <c r="G138" s="23">
        <v>0</v>
      </c>
      <c r="H138" s="23">
        <f t="shared" si="9"/>
        <v>0</v>
      </c>
      <c r="K138">
        <v>4</v>
      </c>
    </row>
    <row r="139" spans="1:8" ht="23.25">
      <c r="A139" s="24" t="s">
        <v>66</v>
      </c>
      <c r="B139" s="25"/>
      <c r="C139" s="25"/>
      <c r="D139" s="25"/>
      <c r="E139" s="26"/>
      <c r="F139" s="27">
        <v>103968</v>
      </c>
      <c r="G139" s="28">
        <v>33177</v>
      </c>
      <c r="H139" s="27">
        <f t="shared" si="9"/>
        <v>137145</v>
      </c>
    </row>
    <row r="140" spans="1:8" ht="23.25">
      <c r="A140" s="20" t="s">
        <v>67</v>
      </c>
      <c r="B140" s="21"/>
      <c r="C140" s="21"/>
      <c r="D140" s="21"/>
      <c r="E140" s="22"/>
      <c r="F140" s="23">
        <f>D140+E140</f>
        <v>0</v>
      </c>
      <c r="G140" s="23">
        <v>0</v>
      </c>
      <c r="H140" s="23">
        <f t="shared" si="9"/>
        <v>0</v>
      </c>
    </row>
    <row r="141" spans="1:8" ht="23.25">
      <c r="A141" s="24" t="s">
        <v>68</v>
      </c>
      <c r="B141" s="25"/>
      <c r="C141" s="25"/>
      <c r="D141" s="25"/>
      <c r="E141" s="26"/>
      <c r="F141" s="27">
        <f>D141+E141</f>
        <v>0</v>
      </c>
      <c r="G141" s="28">
        <v>3722599</v>
      </c>
      <c r="H141" s="27">
        <f t="shared" si="9"/>
        <v>3722599</v>
      </c>
    </row>
    <row r="142" spans="1:8" ht="24" thickBot="1">
      <c r="A142" s="29"/>
      <c r="B142" s="29"/>
      <c r="C142" s="29"/>
      <c r="D142" s="29"/>
      <c r="E142" s="29"/>
      <c r="F142" s="81">
        <f>F118+F119+F120+F121+F122+F123+F124+F125+F126+F127+F128+F129+F130+F131+F132+F133+F134+F135+F136+F137+F138+F139+F140+F141</f>
        <v>1975470.3000000003</v>
      </c>
      <c r="G142" s="30">
        <f>G118+G119+G120+G121+G122+G123+G124+G125+G126+G127+G128+G129+G130+G131+G132+G133+G134+G135+G136+G137+G138+G139+G140+G141</f>
        <v>4196635.52</v>
      </c>
      <c r="H142" s="31">
        <f>H118+H119+H120+H121+H122+H123+H124+H125+H126+H127+H128+H129+H130+H131+H132+H133+H134+H135+H136+H137+H138+H139+H140+H141</f>
        <v>6172105.82</v>
      </c>
    </row>
    <row r="143" ht="13.5" thickTop="1"/>
    <row r="153" spans="1:8" ht="23.25">
      <c r="A153" s="276" t="s">
        <v>39</v>
      </c>
      <c r="B153" s="276"/>
      <c r="C153" s="276"/>
      <c r="D153" s="276"/>
      <c r="E153" s="276"/>
      <c r="F153" s="276"/>
      <c r="G153" s="276"/>
      <c r="H153" s="276"/>
    </row>
    <row r="154" spans="1:8" ht="21">
      <c r="A154" s="273" t="s">
        <v>40</v>
      </c>
      <c r="B154" s="273"/>
      <c r="C154" s="273"/>
      <c r="D154" s="273"/>
      <c r="E154" s="273"/>
      <c r="F154" s="273"/>
      <c r="G154" s="273"/>
      <c r="H154" s="273"/>
    </row>
    <row r="155" spans="1:8" ht="21">
      <c r="A155" s="273" t="s">
        <v>212</v>
      </c>
      <c r="B155" s="273"/>
      <c r="C155" s="273"/>
      <c r="D155" s="273"/>
      <c r="E155" s="273"/>
      <c r="F155" s="273"/>
      <c r="G155" s="273"/>
      <c r="H155" s="273"/>
    </row>
    <row r="157" spans="1:8" ht="23.25">
      <c r="A157" s="274" t="s">
        <v>41</v>
      </c>
      <c r="B157" s="287"/>
      <c r="C157" s="287"/>
      <c r="D157" s="287"/>
      <c r="E157" s="288"/>
      <c r="F157" s="19" t="s">
        <v>42</v>
      </c>
      <c r="G157" s="19" t="s">
        <v>43</v>
      </c>
      <c r="H157" s="19" t="s">
        <v>44</v>
      </c>
    </row>
    <row r="158" spans="1:11" ht="23.25">
      <c r="A158" s="20" t="s">
        <v>45</v>
      </c>
      <c r="B158" s="21"/>
      <c r="C158" s="21"/>
      <c r="D158" s="21"/>
      <c r="E158" s="22"/>
      <c r="F158" s="23">
        <v>8588</v>
      </c>
      <c r="G158" s="23">
        <v>39139.3</v>
      </c>
      <c r="H158" s="23">
        <f aca="true" t="shared" si="10" ref="H158:H164">F158+G158</f>
        <v>47727.3</v>
      </c>
      <c r="K158">
        <v>5</v>
      </c>
    </row>
    <row r="159" spans="1:8" ht="23.25">
      <c r="A159" s="24" t="s">
        <v>46</v>
      </c>
      <c r="B159" s="25"/>
      <c r="C159" s="25"/>
      <c r="D159" s="25"/>
      <c r="E159" s="26"/>
      <c r="F159" s="27">
        <v>1116.17</v>
      </c>
      <c r="G159" s="28">
        <v>3359.77</v>
      </c>
      <c r="H159" s="27">
        <f t="shared" si="10"/>
        <v>4475.9400000000005</v>
      </c>
    </row>
    <row r="160" spans="1:8" ht="23.25">
      <c r="A160" s="20" t="s">
        <v>47</v>
      </c>
      <c r="B160" s="21"/>
      <c r="C160" s="21"/>
      <c r="D160" s="21"/>
      <c r="E160" s="22"/>
      <c r="F160" s="23">
        <v>200</v>
      </c>
      <c r="G160" s="23">
        <v>800</v>
      </c>
      <c r="H160" s="23">
        <f t="shared" si="10"/>
        <v>1000</v>
      </c>
    </row>
    <row r="161" spans="1:8" ht="23.25">
      <c r="A161" s="24" t="s">
        <v>48</v>
      </c>
      <c r="B161" s="25"/>
      <c r="C161" s="25"/>
      <c r="D161" s="25"/>
      <c r="E161" s="26"/>
      <c r="F161" s="27">
        <f>D161+E161</f>
        <v>0</v>
      </c>
      <c r="G161" s="28">
        <v>0</v>
      </c>
      <c r="H161" s="27">
        <f t="shared" si="10"/>
        <v>0</v>
      </c>
    </row>
    <row r="162" spans="1:8" ht="23.25">
      <c r="A162" s="20" t="s">
        <v>49</v>
      </c>
      <c r="B162" s="21"/>
      <c r="C162" s="21"/>
      <c r="D162" s="21"/>
      <c r="E162" s="22"/>
      <c r="F162" s="23">
        <f>D162+E162</f>
        <v>0</v>
      </c>
      <c r="G162" s="23">
        <v>0</v>
      </c>
      <c r="H162" s="23">
        <f t="shared" si="10"/>
        <v>0</v>
      </c>
    </row>
    <row r="163" spans="1:8" ht="23.25">
      <c r="A163" s="24" t="s">
        <v>50</v>
      </c>
      <c r="B163" s="25"/>
      <c r="C163" s="25"/>
      <c r="D163" s="25"/>
      <c r="E163" s="26"/>
      <c r="F163" s="27">
        <f>D163+E163</f>
        <v>0</v>
      </c>
      <c r="G163" s="28">
        <v>0</v>
      </c>
      <c r="H163" s="27">
        <f t="shared" si="10"/>
        <v>0</v>
      </c>
    </row>
    <row r="164" spans="1:8" ht="23.25">
      <c r="A164" s="20" t="s">
        <v>51</v>
      </c>
      <c r="B164" s="21"/>
      <c r="C164" s="21"/>
      <c r="D164" s="21"/>
      <c r="E164" s="22"/>
      <c r="F164" s="23">
        <v>300</v>
      </c>
      <c r="G164" s="23">
        <v>0</v>
      </c>
      <c r="H164" s="23">
        <f t="shared" si="10"/>
        <v>300</v>
      </c>
    </row>
    <row r="165" spans="1:8" ht="23.25">
      <c r="A165" s="24" t="s">
        <v>52</v>
      </c>
      <c r="B165" s="25"/>
      <c r="C165" s="25"/>
      <c r="D165" s="25"/>
      <c r="E165" s="26"/>
      <c r="F165" s="27">
        <v>0</v>
      </c>
      <c r="G165" s="28">
        <v>0</v>
      </c>
      <c r="H165" s="27">
        <v>0</v>
      </c>
    </row>
    <row r="166" spans="1:8" ht="23.25">
      <c r="A166" s="20" t="s">
        <v>53</v>
      </c>
      <c r="B166" s="21"/>
      <c r="C166" s="21"/>
      <c r="D166" s="21"/>
      <c r="E166" s="22"/>
      <c r="F166" s="23">
        <v>11977</v>
      </c>
      <c r="G166" s="23">
        <v>10694</v>
      </c>
      <c r="H166" s="23">
        <f>F166+G166</f>
        <v>22671</v>
      </c>
    </row>
    <row r="167" spans="1:8" ht="23.25">
      <c r="A167" s="24" t="s">
        <v>54</v>
      </c>
      <c r="B167" s="25"/>
      <c r="C167" s="25"/>
      <c r="D167" s="25"/>
      <c r="E167" s="26"/>
      <c r="F167" s="27">
        <v>800</v>
      </c>
      <c r="G167" s="28">
        <v>0</v>
      </c>
      <c r="H167" s="27">
        <f>F167+G167</f>
        <v>800</v>
      </c>
    </row>
    <row r="168" spans="1:8" ht="23.25">
      <c r="A168" s="20" t="s">
        <v>55</v>
      </c>
      <c r="B168" s="21"/>
      <c r="C168" s="21"/>
      <c r="D168" s="21"/>
      <c r="E168" s="22"/>
      <c r="F168" s="23">
        <v>1167.19</v>
      </c>
      <c r="G168" s="23">
        <v>0</v>
      </c>
      <c r="H168" s="23">
        <f aca="true" t="shared" si="11" ref="H168:H181">F168+G168</f>
        <v>1167.19</v>
      </c>
    </row>
    <row r="169" spans="1:8" ht="23.25">
      <c r="A169" s="24" t="s">
        <v>56</v>
      </c>
      <c r="B169" s="25"/>
      <c r="C169" s="25"/>
      <c r="D169" s="25"/>
      <c r="E169" s="26"/>
      <c r="F169" s="27">
        <f>D169+E169</f>
        <v>0</v>
      </c>
      <c r="G169" s="28">
        <v>4500</v>
      </c>
      <c r="H169" s="27">
        <f t="shared" si="11"/>
        <v>4500</v>
      </c>
    </row>
    <row r="170" spans="1:8" ht="23.25">
      <c r="A170" s="20" t="s">
        <v>57</v>
      </c>
      <c r="B170" s="21"/>
      <c r="C170" s="21"/>
      <c r="D170" s="21"/>
      <c r="E170" s="22"/>
      <c r="F170" s="23">
        <v>839</v>
      </c>
      <c r="G170" s="23">
        <v>0</v>
      </c>
      <c r="H170" s="23">
        <f t="shared" si="11"/>
        <v>839</v>
      </c>
    </row>
    <row r="171" spans="1:8" ht="23.25">
      <c r="A171" s="24" t="s">
        <v>58</v>
      </c>
      <c r="B171" s="25"/>
      <c r="C171" s="25"/>
      <c r="D171" s="25"/>
      <c r="E171" s="26"/>
      <c r="F171" s="27">
        <v>761968.77</v>
      </c>
      <c r="G171" s="28">
        <v>819146.49</v>
      </c>
      <c r="H171" s="27">
        <f t="shared" si="11"/>
        <v>1581115.26</v>
      </c>
    </row>
    <row r="172" spans="1:8" ht="23.25">
      <c r="A172" s="20" t="s">
        <v>59</v>
      </c>
      <c r="B172" s="21"/>
      <c r="C172" s="21"/>
      <c r="D172" s="21"/>
      <c r="E172" s="22"/>
      <c r="F172" s="23">
        <v>470943.14</v>
      </c>
      <c r="G172" s="23">
        <v>0</v>
      </c>
      <c r="H172" s="23">
        <f t="shared" si="11"/>
        <v>470943.14</v>
      </c>
    </row>
    <row r="173" spans="1:8" ht="23.25">
      <c r="A173" s="24" t="s">
        <v>60</v>
      </c>
      <c r="B173" s="25"/>
      <c r="C173" s="25"/>
      <c r="D173" s="25"/>
      <c r="E173" s="26"/>
      <c r="F173" s="27">
        <v>11688.31</v>
      </c>
      <c r="G173" s="28">
        <v>0</v>
      </c>
      <c r="H173" s="27">
        <f t="shared" si="11"/>
        <v>11688.31</v>
      </c>
    </row>
    <row r="174" spans="1:8" ht="23.25">
      <c r="A174" s="20" t="s">
        <v>61</v>
      </c>
      <c r="B174" s="21"/>
      <c r="C174" s="21"/>
      <c r="D174" s="21"/>
      <c r="E174" s="22"/>
      <c r="F174" s="23">
        <v>275676.85</v>
      </c>
      <c r="G174" s="23">
        <v>0</v>
      </c>
      <c r="H174" s="23">
        <f t="shared" si="11"/>
        <v>275676.85</v>
      </c>
    </row>
    <row r="175" spans="1:8" ht="23.25">
      <c r="A175" s="24" t="s">
        <v>62</v>
      </c>
      <c r="B175" s="25"/>
      <c r="C175" s="25"/>
      <c r="D175" s="25"/>
      <c r="E175" s="26"/>
      <c r="F175" s="27">
        <v>718359.77</v>
      </c>
      <c r="G175" s="28">
        <v>0</v>
      </c>
      <c r="H175" s="27">
        <f t="shared" si="11"/>
        <v>718359.77</v>
      </c>
    </row>
    <row r="176" spans="1:8" ht="23.25">
      <c r="A176" s="20" t="s">
        <v>63</v>
      </c>
      <c r="B176" s="21"/>
      <c r="C176" s="21"/>
      <c r="D176" s="21"/>
      <c r="E176" s="22"/>
      <c r="F176" s="23">
        <v>37218.59</v>
      </c>
      <c r="G176" s="23">
        <v>15917.66</v>
      </c>
      <c r="H176" s="23">
        <f t="shared" si="11"/>
        <v>53136.25</v>
      </c>
    </row>
    <row r="177" spans="1:8" ht="23.25">
      <c r="A177" s="24" t="s">
        <v>64</v>
      </c>
      <c r="B177" s="25"/>
      <c r="C177" s="25"/>
      <c r="D177" s="25"/>
      <c r="E177" s="26"/>
      <c r="F177" s="28">
        <v>11519.03</v>
      </c>
      <c r="G177" s="28">
        <v>10558.2</v>
      </c>
      <c r="H177" s="28">
        <f t="shared" si="11"/>
        <v>22077.230000000003</v>
      </c>
    </row>
    <row r="178" spans="1:8" ht="23.25">
      <c r="A178" s="20" t="s">
        <v>65</v>
      </c>
      <c r="B178" s="21"/>
      <c r="C178" s="21"/>
      <c r="D178" s="21"/>
      <c r="E178" s="22"/>
      <c r="F178" s="23">
        <v>0</v>
      </c>
      <c r="G178" s="23">
        <v>0</v>
      </c>
      <c r="H178" s="23">
        <f t="shared" si="11"/>
        <v>0</v>
      </c>
    </row>
    <row r="179" spans="1:8" ht="23.25">
      <c r="A179" s="24" t="s">
        <v>66</v>
      </c>
      <c r="B179" s="25"/>
      <c r="C179" s="25"/>
      <c r="D179" s="25"/>
      <c r="E179" s="26"/>
      <c r="F179" s="27">
        <v>137145</v>
      </c>
      <c r="G179" s="28">
        <v>45280</v>
      </c>
      <c r="H179" s="27">
        <f t="shared" si="11"/>
        <v>182425</v>
      </c>
    </row>
    <row r="180" spans="1:8" ht="23.25">
      <c r="A180" s="20" t="s">
        <v>67</v>
      </c>
      <c r="B180" s="21"/>
      <c r="C180" s="21"/>
      <c r="D180" s="21"/>
      <c r="E180" s="22"/>
      <c r="F180" s="23">
        <f>D180+E180</f>
        <v>0</v>
      </c>
      <c r="G180" s="23">
        <v>0</v>
      </c>
      <c r="H180" s="23">
        <f t="shared" si="11"/>
        <v>0</v>
      </c>
    </row>
    <row r="181" spans="1:8" ht="23.25">
      <c r="A181" s="24" t="s">
        <v>68</v>
      </c>
      <c r="B181" s="25"/>
      <c r="C181" s="25"/>
      <c r="D181" s="25"/>
      <c r="E181" s="26"/>
      <c r="F181" s="27">
        <v>3722599</v>
      </c>
      <c r="G181" s="28">
        <v>3722599</v>
      </c>
      <c r="H181" s="27">
        <f t="shared" si="11"/>
        <v>7445198</v>
      </c>
    </row>
    <row r="182" spans="1:8" ht="24" thickBot="1">
      <c r="A182" s="29"/>
      <c r="B182" s="29"/>
      <c r="C182" s="29"/>
      <c r="D182" s="29"/>
      <c r="E182" s="29"/>
      <c r="F182" s="81">
        <f>F158+F159+F160+F161+F162+F163+F164+F165+F166+F167+F168+F169+F170+F171+F172+F173+F174+F175+F176+F177+F178+F179+F180+F181</f>
        <v>6172105.82</v>
      </c>
      <c r="G182" s="30">
        <f>G158+G159+G160+G161+G162+G163+G164+G165+G166+G167+G168+G169+G170+G171+G172+G173+G174+G175+G176+G177+G178+G179+G180+G181</f>
        <v>4671994.42</v>
      </c>
      <c r="H182" s="31">
        <f>H158+H159+H160+H161+H162+H163+H164+H165+H166+H167+H168+H169+H170+H171+H172+H173+H174+H175+H176+H177+H178+H179+H180+H181</f>
        <v>10844100.24</v>
      </c>
    </row>
    <row r="183" ht="13.5" thickTop="1"/>
    <row r="188" spans="1:8" ht="23.25">
      <c r="A188" s="276" t="s">
        <v>39</v>
      </c>
      <c r="B188" s="276"/>
      <c r="C188" s="276"/>
      <c r="D188" s="276"/>
      <c r="E188" s="276"/>
      <c r="F188" s="276"/>
      <c r="G188" s="276"/>
      <c r="H188" s="276"/>
    </row>
    <row r="189" spans="1:8" ht="21">
      <c r="A189" s="273" t="s">
        <v>40</v>
      </c>
      <c r="B189" s="273"/>
      <c r="C189" s="273"/>
      <c r="D189" s="273"/>
      <c r="E189" s="273"/>
      <c r="F189" s="273"/>
      <c r="G189" s="273"/>
      <c r="H189" s="273"/>
    </row>
    <row r="190" spans="1:8" ht="21">
      <c r="A190" s="273" t="s">
        <v>215</v>
      </c>
      <c r="B190" s="273"/>
      <c r="C190" s="273"/>
      <c r="D190" s="273"/>
      <c r="E190" s="273"/>
      <c r="F190" s="273"/>
      <c r="G190" s="273"/>
      <c r="H190" s="273"/>
    </row>
    <row r="192" spans="1:8" ht="23.25">
      <c r="A192" s="274" t="s">
        <v>41</v>
      </c>
      <c r="B192" s="287"/>
      <c r="C192" s="287"/>
      <c r="D192" s="287"/>
      <c r="E192" s="288"/>
      <c r="F192" s="19" t="s">
        <v>42</v>
      </c>
      <c r="G192" s="19" t="s">
        <v>43</v>
      </c>
      <c r="H192" s="19" t="s">
        <v>44</v>
      </c>
    </row>
    <row r="193" spans="1:8" ht="23.25">
      <c r="A193" s="20" t="s">
        <v>45</v>
      </c>
      <c r="B193" s="21"/>
      <c r="C193" s="21"/>
      <c r="D193" s="21"/>
      <c r="E193" s="22"/>
      <c r="F193" s="23">
        <v>47727.3</v>
      </c>
      <c r="G193" s="23">
        <v>7044</v>
      </c>
      <c r="H193" s="23">
        <f aca="true" t="shared" si="12" ref="H193:H199">F193+G193</f>
        <v>54771.3</v>
      </c>
    </row>
    <row r="194" spans="1:8" ht="23.25">
      <c r="A194" s="24" t="s">
        <v>46</v>
      </c>
      <c r="B194" s="25"/>
      <c r="C194" s="25"/>
      <c r="D194" s="25"/>
      <c r="E194" s="26"/>
      <c r="F194" s="27">
        <v>4475.94</v>
      </c>
      <c r="G194" s="28">
        <v>2484.2</v>
      </c>
      <c r="H194" s="27">
        <f t="shared" si="12"/>
        <v>6960.139999999999</v>
      </c>
    </row>
    <row r="195" spans="1:8" ht="23.25">
      <c r="A195" s="20" t="s">
        <v>47</v>
      </c>
      <c r="B195" s="21"/>
      <c r="C195" s="21"/>
      <c r="D195" s="21"/>
      <c r="E195" s="22"/>
      <c r="F195" s="23">
        <v>1000</v>
      </c>
      <c r="G195" s="23">
        <v>850</v>
      </c>
      <c r="H195" s="23">
        <f t="shared" si="12"/>
        <v>1850</v>
      </c>
    </row>
    <row r="196" spans="1:8" ht="23.25">
      <c r="A196" s="24" t="s">
        <v>48</v>
      </c>
      <c r="B196" s="25"/>
      <c r="C196" s="25"/>
      <c r="D196" s="25"/>
      <c r="E196" s="26"/>
      <c r="F196" s="27">
        <f>D196+E196</f>
        <v>0</v>
      </c>
      <c r="G196" s="28">
        <v>0</v>
      </c>
      <c r="H196" s="27">
        <f t="shared" si="12"/>
        <v>0</v>
      </c>
    </row>
    <row r="197" spans="1:8" ht="23.25">
      <c r="A197" s="20" t="s">
        <v>49</v>
      </c>
      <c r="B197" s="21"/>
      <c r="C197" s="21"/>
      <c r="D197" s="21"/>
      <c r="E197" s="22"/>
      <c r="F197" s="23">
        <f>D197+E197</f>
        <v>0</v>
      </c>
      <c r="G197" s="23">
        <v>0</v>
      </c>
      <c r="H197" s="23">
        <f t="shared" si="12"/>
        <v>0</v>
      </c>
    </row>
    <row r="198" spans="1:8" ht="23.25">
      <c r="A198" s="24" t="s">
        <v>50</v>
      </c>
      <c r="B198" s="25"/>
      <c r="C198" s="25"/>
      <c r="D198" s="25"/>
      <c r="E198" s="26"/>
      <c r="F198" s="27">
        <f>D198+E198</f>
        <v>0</v>
      </c>
      <c r="G198" s="28">
        <v>0</v>
      </c>
      <c r="H198" s="27">
        <f t="shared" si="12"/>
        <v>0</v>
      </c>
    </row>
    <row r="199" spans="1:8" ht="23.25">
      <c r="A199" s="20" t="s">
        <v>51</v>
      </c>
      <c r="B199" s="21"/>
      <c r="C199" s="21"/>
      <c r="D199" s="21"/>
      <c r="E199" s="22"/>
      <c r="F199" s="23">
        <v>300</v>
      </c>
      <c r="G199" s="23">
        <v>100</v>
      </c>
      <c r="H199" s="23">
        <f t="shared" si="12"/>
        <v>400</v>
      </c>
    </row>
    <row r="200" spans="1:8" ht="23.25">
      <c r="A200" s="24" t="s">
        <v>52</v>
      </c>
      <c r="B200" s="25"/>
      <c r="C200" s="25"/>
      <c r="D200" s="25"/>
      <c r="E200" s="26"/>
      <c r="F200" s="27">
        <v>0</v>
      </c>
      <c r="G200" s="28">
        <v>0</v>
      </c>
      <c r="H200" s="27">
        <v>0</v>
      </c>
    </row>
    <row r="201" spans="1:8" ht="23.25">
      <c r="A201" s="20" t="s">
        <v>53</v>
      </c>
      <c r="B201" s="21"/>
      <c r="C201" s="21"/>
      <c r="D201" s="21"/>
      <c r="E201" s="22"/>
      <c r="F201" s="23">
        <v>22671</v>
      </c>
      <c r="G201" s="23">
        <v>45450</v>
      </c>
      <c r="H201" s="23">
        <f>F201+G201</f>
        <v>68121</v>
      </c>
    </row>
    <row r="202" spans="1:8" ht="23.25">
      <c r="A202" s="24" t="s">
        <v>54</v>
      </c>
      <c r="B202" s="25"/>
      <c r="C202" s="25"/>
      <c r="D202" s="25"/>
      <c r="E202" s="26"/>
      <c r="F202" s="27">
        <v>800</v>
      </c>
      <c r="G202" s="28">
        <v>800</v>
      </c>
      <c r="H202" s="27">
        <f>F202+G202</f>
        <v>1600</v>
      </c>
    </row>
    <row r="203" spans="1:8" ht="23.25">
      <c r="A203" s="20" t="s">
        <v>55</v>
      </c>
      <c r="B203" s="21"/>
      <c r="C203" s="21"/>
      <c r="D203" s="21"/>
      <c r="E203" s="22"/>
      <c r="F203" s="23">
        <v>1167.19</v>
      </c>
      <c r="G203" s="23">
        <v>17003.03</v>
      </c>
      <c r="H203" s="23">
        <f aca="true" t="shared" si="13" ref="H203:H216">F203+G203</f>
        <v>18170.219999999998</v>
      </c>
    </row>
    <row r="204" spans="1:8" ht="23.25">
      <c r="A204" s="24" t="s">
        <v>56</v>
      </c>
      <c r="B204" s="25"/>
      <c r="C204" s="25"/>
      <c r="D204" s="25"/>
      <c r="E204" s="26"/>
      <c r="F204" s="27">
        <v>4500</v>
      </c>
      <c r="G204" s="28">
        <v>0</v>
      </c>
      <c r="H204" s="27">
        <f t="shared" si="13"/>
        <v>4500</v>
      </c>
    </row>
    <row r="205" spans="1:8" ht="23.25">
      <c r="A205" s="20" t="s">
        <v>57</v>
      </c>
      <c r="B205" s="21"/>
      <c r="C205" s="21"/>
      <c r="D205" s="21"/>
      <c r="E205" s="22"/>
      <c r="F205" s="23">
        <v>839</v>
      </c>
      <c r="G205" s="23">
        <v>0</v>
      </c>
      <c r="H205" s="23">
        <f t="shared" si="13"/>
        <v>839</v>
      </c>
    </row>
    <row r="206" spans="1:8" ht="23.25">
      <c r="A206" s="24" t="s">
        <v>58</v>
      </c>
      <c r="B206" s="25"/>
      <c r="C206" s="25"/>
      <c r="D206" s="25"/>
      <c r="E206" s="26"/>
      <c r="F206" s="27">
        <v>1581115.26</v>
      </c>
      <c r="G206" s="28">
        <v>0</v>
      </c>
      <c r="H206" s="27">
        <f t="shared" si="13"/>
        <v>1581115.26</v>
      </c>
    </row>
    <row r="207" spans="1:8" ht="23.25">
      <c r="A207" s="20" t="s">
        <v>59</v>
      </c>
      <c r="B207" s="21"/>
      <c r="C207" s="21"/>
      <c r="D207" s="21"/>
      <c r="E207" s="22"/>
      <c r="F207" s="23">
        <v>470943.14</v>
      </c>
      <c r="G207" s="23">
        <v>230440.2</v>
      </c>
      <c r="H207" s="23">
        <f t="shared" si="13"/>
        <v>701383.3400000001</v>
      </c>
    </row>
    <row r="208" spans="1:8" ht="23.25">
      <c r="A208" s="24" t="s">
        <v>60</v>
      </c>
      <c r="B208" s="25"/>
      <c r="C208" s="25"/>
      <c r="D208" s="25"/>
      <c r="E208" s="26"/>
      <c r="F208" s="27">
        <v>11688.31</v>
      </c>
      <c r="G208" s="28">
        <v>12917.81</v>
      </c>
      <c r="H208" s="27">
        <f t="shared" si="13"/>
        <v>24606.12</v>
      </c>
    </row>
    <row r="209" spans="1:8" ht="23.25">
      <c r="A209" s="20" t="s">
        <v>61</v>
      </c>
      <c r="B209" s="21"/>
      <c r="C209" s="21"/>
      <c r="D209" s="21"/>
      <c r="E209" s="22"/>
      <c r="F209" s="23">
        <v>275676.85</v>
      </c>
      <c r="G209" s="23">
        <v>146437.11</v>
      </c>
      <c r="H209" s="23">
        <f t="shared" si="13"/>
        <v>422113.95999999996</v>
      </c>
    </row>
    <row r="210" spans="1:8" ht="23.25">
      <c r="A210" s="24" t="s">
        <v>62</v>
      </c>
      <c r="B210" s="25"/>
      <c r="C210" s="25"/>
      <c r="D210" s="25"/>
      <c r="E210" s="26"/>
      <c r="F210" s="27">
        <v>718359.77</v>
      </c>
      <c r="G210" s="28">
        <v>388577.48</v>
      </c>
      <c r="H210" s="27">
        <f t="shared" si="13"/>
        <v>1106937.25</v>
      </c>
    </row>
    <row r="211" spans="1:8" ht="23.25">
      <c r="A211" s="20" t="s">
        <v>63</v>
      </c>
      <c r="B211" s="21"/>
      <c r="C211" s="21"/>
      <c r="D211" s="21"/>
      <c r="E211" s="22"/>
      <c r="F211" s="23">
        <v>53136.25</v>
      </c>
      <c r="G211" s="23">
        <v>0</v>
      </c>
      <c r="H211" s="23">
        <f t="shared" si="13"/>
        <v>53136.25</v>
      </c>
    </row>
    <row r="212" spans="1:8" ht="23.25">
      <c r="A212" s="24" t="s">
        <v>64</v>
      </c>
      <c r="B212" s="25"/>
      <c r="C212" s="25"/>
      <c r="D212" s="25"/>
      <c r="E212" s="26"/>
      <c r="F212" s="28">
        <v>22077.23</v>
      </c>
      <c r="G212" s="28">
        <v>0</v>
      </c>
      <c r="H212" s="28">
        <f t="shared" si="13"/>
        <v>22077.23</v>
      </c>
    </row>
    <row r="213" spans="1:8" ht="23.25">
      <c r="A213" s="20" t="s">
        <v>65</v>
      </c>
      <c r="B213" s="21"/>
      <c r="C213" s="21"/>
      <c r="D213" s="21"/>
      <c r="E213" s="22"/>
      <c r="F213" s="23">
        <v>0</v>
      </c>
      <c r="G213" s="23">
        <v>0</v>
      </c>
      <c r="H213" s="23">
        <f t="shared" si="13"/>
        <v>0</v>
      </c>
    </row>
    <row r="214" spans="1:8" ht="23.25">
      <c r="A214" s="24" t="s">
        <v>66</v>
      </c>
      <c r="B214" s="25"/>
      <c r="C214" s="25"/>
      <c r="D214" s="25"/>
      <c r="E214" s="26"/>
      <c r="F214" s="27">
        <v>182425</v>
      </c>
      <c r="G214" s="28">
        <v>21602</v>
      </c>
      <c r="H214" s="27">
        <f t="shared" si="13"/>
        <v>204027</v>
      </c>
    </row>
    <row r="215" spans="1:8" ht="23.25">
      <c r="A215" s="20" t="s">
        <v>67</v>
      </c>
      <c r="B215" s="21"/>
      <c r="C215" s="21"/>
      <c r="D215" s="21"/>
      <c r="E215" s="22"/>
      <c r="F215" s="23">
        <f>D215+E215</f>
        <v>0</v>
      </c>
      <c r="G215" s="23">
        <v>0</v>
      </c>
      <c r="H215" s="23">
        <f t="shared" si="13"/>
        <v>0</v>
      </c>
    </row>
    <row r="216" spans="1:8" ht="23.25">
      <c r="A216" s="24" t="s">
        <v>68</v>
      </c>
      <c r="B216" s="25"/>
      <c r="C216" s="25"/>
      <c r="D216" s="25"/>
      <c r="E216" s="26"/>
      <c r="F216" s="27">
        <v>7445198</v>
      </c>
      <c r="G216" s="28">
        <v>0</v>
      </c>
      <c r="H216" s="27">
        <f t="shared" si="13"/>
        <v>7445198</v>
      </c>
    </row>
    <row r="217" spans="1:8" ht="24" thickBot="1">
      <c r="A217" s="29"/>
      <c r="B217" s="29"/>
      <c r="C217" s="29"/>
      <c r="D217" s="29"/>
      <c r="E217" s="29"/>
      <c r="F217" s="81">
        <f>F193+F194+F195+F196+F197+F198+F199+F200+F201+F202+F203+F204+F205+F206+F207+F208+F209+F210+F211+F212+F213+F214+F215+F216</f>
        <v>10844100.24</v>
      </c>
      <c r="G217" s="30">
        <f>G193+G194+G195+G196+G197+G198+G199+G200+G201+G202+G203+G204+G205+G206+G207+G208+G209+G210+G211+G212+G213+G214+G215+G216</f>
        <v>873705.83</v>
      </c>
      <c r="H217" s="31">
        <f>H193+H194+H195+H196+H197+H198+H199+H200+H201+H202+H203+H204+H205+H206+H207+H208+H209+H210+H211+H212+H213+H214+H215+H216</f>
        <v>11717806.07</v>
      </c>
    </row>
    <row r="218" ht="13.5" thickTop="1"/>
    <row r="230" spans="1:8" ht="21">
      <c r="A230" s="283" t="s">
        <v>39</v>
      </c>
      <c r="B230" s="283"/>
      <c r="C230" s="283"/>
      <c r="D230" s="283"/>
      <c r="E230" s="283"/>
      <c r="F230" s="283"/>
      <c r="G230" s="283"/>
      <c r="H230" s="283"/>
    </row>
    <row r="231" spans="1:8" ht="18.75">
      <c r="A231" s="284" t="s">
        <v>224</v>
      </c>
      <c r="B231" s="284"/>
      <c r="C231" s="284"/>
      <c r="D231" s="284"/>
      <c r="E231" s="284"/>
      <c r="F231" s="284"/>
      <c r="G231" s="284"/>
      <c r="H231" s="284"/>
    </row>
    <row r="232" spans="1:8" ht="18.75">
      <c r="A232" s="284" t="s">
        <v>222</v>
      </c>
      <c r="B232" s="284"/>
      <c r="C232" s="284"/>
      <c r="D232" s="284"/>
      <c r="E232" s="284"/>
      <c r="F232" s="284"/>
      <c r="G232" s="284"/>
      <c r="H232" s="284"/>
    </row>
    <row r="233" spans="1:8" ht="13.5">
      <c r="A233" s="109"/>
      <c r="B233" s="109"/>
      <c r="C233" s="109"/>
      <c r="D233" s="109"/>
      <c r="E233" s="109"/>
      <c r="F233" s="109"/>
      <c r="G233" s="109"/>
      <c r="H233" s="109"/>
    </row>
    <row r="234" spans="1:8" ht="21">
      <c r="A234" s="285" t="s">
        <v>41</v>
      </c>
      <c r="B234" s="286"/>
      <c r="C234" s="286"/>
      <c r="D234" s="286"/>
      <c r="E234" s="275"/>
      <c r="F234" s="111" t="s">
        <v>42</v>
      </c>
      <c r="G234" s="111" t="s">
        <v>43</v>
      </c>
      <c r="H234" s="111" t="s">
        <v>44</v>
      </c>
    </row>
    <row r="235" spans="1:8" ht="21">
      <c r="A235" s="112" t="s">
        <v>45</v>
      </c>
      <c r="B235" s="113"/>
      <c r="C235" s="113"/>
      <c r="D235" s="113"/>
      <c r="E235" s="114"/>
      <c r="F235" s="115">
        <v>54771.3</v>
      </c>
      <c r="G235" s="115">
        <v>0</v>
      </c>
      <c r="H235" s="115">
        <f aca="true" t="shared" si="14" ref="H235:H241">F235+G235</f>
        <v>54771.3</v>
      </c>
    </row>
    <row r="236" spans="1:8" ht="21">
      <c r="A236" s="116" t="s">
        <v>46</v>
      </c>
      <c r="B236" s="117"/>
      <c r="C236" s="117"/>
      <c r="D236" s="117"/>
      <c r="E236" s="118"/>
      <c r="F236" s="119">
        <v>6960.14</v>
      </c>
      <c r="G236" s="120">
        <v>10350.72</v>
      </c>
      <c r="H236" s="119">
        <f t="shared" si="14"/>
        <v>17310.86</v>
      </c>
    </row>
    <row r="237" spans="1:10" ht="21">
      <c r="A237" s="112" t="s">
        <v>47</v>
      </c>
      <c r="B237" s="113"/>
      <c r="C237" s="113"/>
      <c r="D237" s="113"/>
      <c r="E237" s="114"/>
      <c r="F237" s="115">
        <v>1850</v>
      </c>
      <c r="G237" s="115">
        <v>0</v>
      </c>
      <c r="H237" s="115">
        <f t="shared" si="14"/>
        <v>1850</v>
      </c>
      <c r="J237">
        <v>7</v>
      </c>
    </row>
    <row r="238" spans="1:8" ht="21">
      <c r="A238" s="116" t="s">
        <v>48</v>
      </c>
      <c r="B238" s="117"/>
      <c r="C238" s="117"/>
      <c r="D238" s="117"/>
      <c r="E238" s="118"/>
      <c r="F238" s="119">
        <f>D238+E238</f>
        <v>0</v>
      </c>
      <c r="G238" s="120">
        <v>0</v>
      </c>
      <c r="H238" s="119">
        <f t="shared" si="14"/>
        <v>0</v>
      </c>
    </row>
    <row r="239" spans="1:8" ht="21">
      <c r="A239" s="112" t="s">
        <v>49</v>
      </c>
      <c r="B239" s="113"/>
      <c r="C239" s="113"/>
      <c r="D239" s="113"/>
      <c r="E239" s="114"/>
      <c r="F239" s="115">
        <f>D239+E239</f>
        <v>0</v>
      </c>
      <c r="G239" s="115">
        <v>0</v>
      </c>
      <c r="H239" s="115">
        <f t="shared" si="14"/>
        <v>0</v>
      </c>
    </row>
    <row r="240" spans="1:8" ht="21">
      <c r="A240" s="116" t="s">
        <v>50</v>
      </c>
      <c r="B240" s="117"/>
      <c r="C240" s="117"/>
      <c r="D240" s="117"/>
      <c r="E240" s="118"/>
      <c r="F240" s="119">
        <f>D240+E240</f>
        <v>0</v>
      </c>
      <c r="G240" s="120">
        <v>0</v>
      </c>
      <c r="H240" s="119">
        <f t="shared" si="14"/>
        <v>0</v>
      </c>
    </row>
    <row r="241" spans="1:8" ht="21">
      <c r="A241" s="112" t="s">
        <v>51</v>
      </c>
      <c r="B241" s="113"/>
      <c r="C241" s="113"/>
      <c r="D241" s="113"/>
      <c r="E241" s="114"/>
      <c r="F241" s="115">
        <v>400</v>
      </c>
      <c r="G241" s="115">
        <v>0</v>
      </c>
      <c r="H241" s="115">
        <f t="shared" si="14"/>
        <v>400</v>
      </c>
    </row>
    <row r="242" spans="1:8" ht="21">
      <c r="A242" s="116" t="s">
        <v>52</v>
      </c>
      <c r="B242" s="117"/>
      <c r="C242" s="117"/>
      <c r="D242" s="117"/>
      <c r="E242" s="118"/>
      <c r="F242" s="119">
        <v>0</v>
      </c>
      <c r="G242" s="120">
        <v>0</v>
      </c>
      <c r="H242" s="119">
        <v>0</v>
      </c>
    </row>
    <row r="243" spans="1:8" ht="21">
      <c r="A243" s="112" t="s">
        <v>53</v>
      </c>
      <c r="B243" s="113"/>
      <c r="C243" s="113"/>
      <c r="D243" s="113"/>
      <c r="E243" s="114"/>
      <c r="F243" s="115">
        <v>68121</v>
      </c>
      <c r="G243" s="115">
        <v>0</v>
      </c>
      <c r="H243" s="115">
        <f>F243+G243</f>
        <v>68121</v>
      </c>
    </row>
    <row r="244" spans="1:8" ht="21">
      <c r="A244" s="116" t="s">
        <v>54</v>
      </c>
      <c r="B244" s="117"/>
      <c r="C244" s="117"/>
      <c r="D244" s="117"/>
      <c r="E244" s="118"/>
      <c r="F244" s="119">
        <v>1600</v>
      </c>
      <c r="G244" s="120">
        <v>0</v>
      </c>
      <c r="H244" s="119">
        <f>F244+G244</f>
        <v>1600</v>
      </c>
    </row>
    <row r="245" spans="1:8" ht="21">
      <c r="A245" s="112" t="s">
        <v>55</v>
      </c>
      <c r="B245" s="113"/>
      <c r="C245" s="113"/>
      <c r="D245" s="113"/>
      <c r="E245" s="114"/>
      <c r="F245" s="115">
        <v>18170.22</v>
      </c>
      <c r="G245" s="115">
        <v>0</v>
      </c>
      <c r="H245" s="115">
        <f aca="true" t="shared" si="15" ref="H245:H258">F245+G245</f>
        <v>18170.22</v>
      </c>
    </row>
    <row r="246" spans="1:8" ht="21">
      <c r="A246" s="116" t="s">
        <v>56</v>
      </c>
      <c r="B246" s="117"/>
      <c r="C246" s="117"/>
      <c r="D246" s="117"/>
      <c r="E246" s="118"/>
      <c r="F246" s="119">
        <v>4500</v>
      </c>
      <c r="G246" s="120">
        <v>0</v>
      </c>
      <c r="H246" s="119">
        <f t="shared" si="15"/>
        <v>4500</v>
      </c>
    </row>
    <row r="247" spans="1:8" ht="21">
      <c r="A247" s="112" t="s">
        <v>57</v>
      </c>
      <c r="B247" s="113"/>
      <c r="C247" s="113"/>
      <c r="D247" s="113"/>
      <c r="E247" s="114"/>
      <c r="F247" s="115">
        <v>839</v>
      </c>
      <c r="G247" s="115">
        <v>0</v>
      </c>
      <c r="H247" s="115">
        <f t="shared" si="15"/>
        <v>839</v>
      </c>
    </row>
    <row r="248" spans="1:8" ht="21">
      <c r="A248" s="116" t="s">
        <v>58</v>
      </c>
      <c r="B248" s="117"/>
      <c r="C248" s="117"/>
      <c r="D248" s="117"/>
      <c r="E248" s="118"/>
      <c r="F248" s="119">
        <v>1581115.26</v>
      </c>
      <c r="G248" s="120">
        <v>945023.77</v>
      </c>
      <c r="H248" s="119">
        <f t="shared" si="15"/>
        <v>2526139.0300000003</v>
      </c>
    </row>
    <row r="249" spans="1:8" ht="21">
      <c r="A249" s="112" t="s">
        <v>59</v>
      </c>
      <c r="B249" s="113"/>
      <c r="C249" s="113"/>
      <c r="D249" s="113"/>
      <c r="E249" s="114"/>
      <c r="F249" s="115">
        <v>701383.34</v>
      </c>
      <c r="G249" s="115">
        <v>0</v>
      </c>
      <c r="H249" s="115">
        <f t="shared" si="15"/>
        <v>701383.34</v>
      </c>
    </row>
    <row r="250" spans="1:14" ht="21">
      <c r="A250" s="116" t="s">
        <v>60</v>
      </c>
      <c r="B250" s="117"/>
      <c r="C250" s="117"/>
      <c r="D250" s="117"/>
      <c r="E250" s="118"/>
      <c r="F250" s="119">
        <v>24606.12</v>
      </c>
      <c r="G250" s="120">
        <v>0</v>
      </c>
      <c r="H250" s="119">
        <f t="shared" si="15"/>
        <v>24606.12</v>
      </c>
      <c r="N250" s="84">
        <v>2626223.49</v>
      </c>
    </row>
    <row r="251" spans="1:14" ht="21">
      <c r="A251" s="112" t="s">
        <v>61</v>
      </c>
      <c r="B251" s="113"/>
      <c r="C251" s="113"/>
      <c r="D251" s="113"/>
      <c r="E251" s="114"/>
      <c r="F251" s="115">
        <v>422113.96</v>
      </c>
      <c r="G251" s="115">
        <v>0</v>
      </c>
      <c r="H251" s="115">
        <f t="shared" si="15"/>
        <v>422113.96</v>
      </c>
      <c r="N251" s="84">
        <v>324000</v>
      </c>
    </row>
    <row r="252" spans="1:14" ht="21">
      <c r="A252" s="116" t="s">
        <v>62</v>
      </c>
      <c r="B252" s="117"/>
      <c r="C252" s="117"/>
      <c r="D252" s="117"/>
      <c r="E252" s="118"/>
      <c r="F252" s="119">
        <v>1106937.25</v>
      </c>
      <c r="G252" s="120">
        <v>0</v>
      </c>
      <c r="H252" s="119">
        <f t="shared" si="15"/>
        <v>1106937.25</v>
      </c>
      <c r="N252" s="84">
        <v>1313000</v>
      </c>
    </row>
    <row r="253" spans="1:14" ht="21">
      <c r="A253" s="112" t="s">
        <v>63</v>
      </c>
      <c r="B253" s="113"/>
      <c r="C253" s="113"/>
      <c r="D253" s="113"/>
      <c r="E253" s="114"/>
      <c r="F253" s="115">
        <v>53136.25</v>
      </c>
      <c r="G253" s="115">
        <v>0</v>
      </c>
      <c r="H253" s="115">
        <f t="shared" si="15"/>
        <v>53136.25</v>
      </c>
      <c r="N253" s="84">
        <f>N250-N251-N252</f>
        <v>989223.4900000002</v>
      </c>
    </row>
    <row r="254" spans="1:8" ht="21">
      <c r="A254" s="116" t="s">
        <v>64</v>
      </c>
      <c r="B254" s="117"/>
      <c r="C254" s="117"/>
      <c r="D254" s="117"/>
      <c r="E254" s="118"/>
      <c r="F254" s="120">
        <v>22077.23</v>
      </c>
      <c r="G254" s="120">
        <v>0</v>
      </c>
      <c r="H254" s="120">
        <f t="shared" si="15"/>
        <v>22077.23</v>
      </c>
    </row>
    <row r="255" spans="1:8" ht="21">
      <c r="A255" s="112" t="s">
        <v>65</v>
      </c>
      <c r="B255" s="113"/>
      <c r="C255" s="113"/>
      <c r="D255" s="113"/>
      <c r="E255" s="114"/>
      <c r="F255" s="115">
        <v>0</v>
      </c>
      <c r="G255" s="115">
        <v>0</v>
      </c>
      <c r="H255" s="115">
        <f t="shared" si="15"/>
        <v>0</v>
      </c>
    </row>
    <row r="256" spans="1:8" ht="21">
      <c r="A256" s="116" t="s">
        <v>66</v>
      </c>
      <c r="B256" s="117"/>
      <c r="C256" s="117"/>
      <c r="D256" s="117"/>
      <c r="E256" s="118"/>
      <c r="F256" s="119">
        <v>204027</v>
      </c>
      <c r="G256" s="120">
        <v>33849</v>
      </c>
      <c r="H256" s="119">
        <f t="shared" si="15"/>
        <v>237876</v>
      </c>
    </row>
    <row r="257" spans="1:8" ht="21">
      <c r="A257" s="112" t="s">
        <v>67</v>
      </c>
      <c r="B257" s="113"/>
      <c r="C257" s="113"/>
      <c r="D257" s="113"/>
      <c r="E257" s="114"/>
      <c r="F257" s="115">
        <f>D257+E257</f>
        <v>0</v>
      </c>
      <c r="G257" s="115">
        <v>0</v>
      </c>
      <c r="H257" s="115">
        <f t="shared" si="15"/>
        <v>0</v>
      </c>
    </row>
    <row r="258" spans="1:8" ht="21">
      <c r="A258" s="116" t="s">
        <v>68</v>
      </c>
      <c r="B258" s="117"/>
      <c r="C258" s="117"/>
      <c r="D258" s="117"/>
      <c r="E258" s="118"/>
      <c r="F258" s="119">
        <v>7445198</v>
      </c>
      <c r="G258" s="120">
        <v>0</v>
      </c>
      <c r="H258" s="119">
        <f t="shared" si="15"/>
        <v>7445198</v>
      </c>
    </row>
    <row r="259" spans="1:8" ht="21.75" thickBot="1">
      <c r="A259" s="121"/>
      <c r="B259" s="121"/>
      <c r="C259" s="121"/>
      <c r="D259" s="121"/>
      <c r="E259" s="121"/>
      <c r="F259" s="122">
        <f>F235+F236+F237+F238+F239+F240+F241+F242+F243+F244+F245+F246+F247+F248+F249+F250+F251+F252+F253+F254+F255+F256+F257+F258</f>
        <v>11717806.07</v>
      </c>
      <c r="G259" s="123">
        <f>G235+G236+G237+G238+G239+G240+G241+G242+G243+G244+G245+G246+G247+G248+G249+G250+G251+G252+G253+G254+G255+G256+G257+G258</f>
        <v>989223.49</v>
      </c>
      <c r="H259" s="124">
        <f>H235+H236+H237+H238+H239+H240+H241+H242+H243+H244+H245+H246+H247+H248+H249+H250+H251+H252+H253+H254+H255+H256+H257+H258</f>
        <v>12707029.56</v>
      </c>
    </row>
    <row r="260" spans="1:8" ht="14.25" thickTop="1">
      <c r="A260" s="109"/>
      <c r="B260" s="109"/>
      <c r="C260" s="109"/>
      <c r="D260" s="109"/>
      <c r="E260" s="109"/>
      <c r="F260" s="109"/>
      <c r="G260" s="109"/>
      <c r="H260" s="109"/>
    </row>
    <row r="261" spans="1:8" ht="13.5">
      <c r="A261" s="109"/>
      <c r="B261" s="109"/>
      <c r="C261" s="109"/>
      <c r="D261" s="109"/>
      <c r="E261" s="109"/>
      <c r="F261" s="109"/>
      <c r="G261" s="109"/>
      <c r="H261" s="109"/>
    </row>
    <row r="274" spans="1:8" ht="21">
      <c r="A274" s="283" t="s">
        <v>39</v>
      </c>
      <c r="B274" s="283"/>
      <c r="C274" s="283"/>
      <c r="D274" s="283"/>
      <c r="E274" s="283"/>
      <c r="F274" s="283"/>
      <c r="G274" s="283"/>
      <c r="H274" s="283"/>
    </row>
    <row r="275" spans="1:8" ht="18.75">
      <c r="A275" s="284" t="s">
        <v>224</v>
      </c>
      <c r="B275" s="284"/>
      <c r="C275" s="284"/>
      <c r="D275" s="284"/>
      <c r="E275" s="284"/>
      <c r="F275" s="284"/>
      <c r="G275" s="284"/>
      <c r="H275" s="284"/>
    </row>
    <row r="276" spans="1:8" ht="18.75">
      <c r="A276" s="284" t="s">
        <v>228</v>
      </c>
      <c r="B276" s="284"/>
      <c r="C276" s="284"/>
      <c r="D276" s="284"/>
      <c r="E276" s="284"/>
      <c r="F276" s="284"/>
      <c r="G276" s="284"/>
      <c r="H276" s="284"/>
    </row>
    <row r="277" spans="1:8" ht="13.5">
      <c r="A277" s="109"/>
      <c r="B277" s="109"/>
      <c r="C277" s="109"/>
      <c r="D277" s="109"/>
      <c r="E277" s="109"/>
      <c r="F277" s="109"/>
      <c r="G277" s="109"/>
      <c r="H277" s="109"/>
    </row>
    <row r="278" spans="1:8" ht="21">
      <c r="A278" s="285" t="s">
        <v>41</v>
      </c>
      <c r="B278" s="286"/>
      <c r="C278" s="286"/>
      <c r="D278" s="286"/>
      <c r="E278" s="275"/>
      <c r="F278" s="111" t="s">
        <v>42</v>
      </c>
      <c r="G278" s="111" t="s">
        <v>43</v>
      </c>
      <c r="H278" s="111" t="s">
        <v>44</v>
      </c>
    </row>
    <row r="279" spans="1:8" ht="21">
      <c r="A279" s="112" t="s">
        <v>45</v>
      </c>
      <c r="B279" s="113"/>
      <c r="C279" s="113"/>
      <c r="D279" s="113"/>
      <c r="E279" s="114"/>
      <c r="F279" s="115">
        <v>54771.3</v>
      </c>
      <c r="G279" s="115">
        <v>0</v>
      </c>
      <c r="H279" s="115">
        <f aca="true" t="shared" si="16" ref="H279:H285">F279+G279</f>
        <v>54771.3</v>
      </c>
    </row>
    <row r="280" spans="1:8" ht="21">
      <c r="A280" s="116" t="s">
        <v>46</v>
      </c>
      <c r="B280" s="117"/>
      <c r="C280" s="117"/>
      <c r="D280" s="117"/>
      <c r="E280" s="118"/>
      <c r="F280" s="119">
        <v>17310.86</v>
      </c>
      <c r="G280" s="120">
        <v>1332.82</v>
      </c>
      <c r="H280" s="119">
        <f t="shared" si="16"/>
        <v>18643.68</v>
      </c>
    </row>
    <row r="281" spans="1:8" ht="21">
      <c r="A281" s="112" t="s">
        <v>47</v>
      </c>
      <c r="B281" s="113"/>
      <c r="C281" s="113"/>
      <c r="D281" s="113"/>
      <c r="E281" s="114"/>
      <c r="F281" s="115">
        <v>1850</v>
      </c>
      <c r="G281" s="115">
        <v>0</v>
      </c>
      <c r="H281" s="115">
        <f t="shared" si="16"/>
        <v>1850</v>
      </c>
    </row>
    <row r="282" spans="1:11" ht="21">
      <c r="A282" s="116" t="s">
        <v>48</v>
      </c>
      <c r="B282" s="117"/>
      <c r="C282" s="117"/>
      <c r="D282" s="117"/>
      <c r="E282" s="118"/>
      <c r="F282" s="119">
        <f>D282+E282</f>
        <v>0</v>
      </c>
      <c r="G282" s="120">
        <v>0</v>
      </c>
      <c r="H282" s="119">
        <f t="shared" si="16"/>
        <v>0</v>
      </c>
      <c r="K282">
        <v>8</v>
      </c>
    </row>
    <row r="283" spans="1:8" ht="21">
      <c r="A283" s="112" t="s">
        <v>49</v>
      </c>
      <c r="B283" s="113"/>
      <c r="C283" s="113"/>
      <c r="D283" s="113"/>
      <c r="E283" s="114"/>
      <c r="F283" s="115">
        <f>D283+E283</f>
        <v>0</v>
      </c>
      <c r="G283" s="115">
        <v>0</v>
      </c>
      <c r="H283" s="115">
        <f t="shared" si="16"/>
        <v>0</v>
      </c>
    </row>
    <row r="284" spans="1:8" ht="21">
      <c r="A284" s="116" t="s">
        <v>50</v>
      </c>
      <c r="B284" s="117"/>
      <c r="C284" s="117"/>
      <c r="D284" s="117"/>
      <c r="E284" s="118"/>
      <c r="F284" s="119">
        <f>D284+E284</f>
        <v>0</v>
      </c>
      <c r="G284" s="120">
        <v>0</v>
      </c>
      <c r="H284" s="119">
        <f t="shared" si="16"/>
        <v>0</v>
      </c>
    </row>
    <row r="285" spans="1:8" ht="21">
      <c r="A285" s="112" t="s">
        <v>51</v>
      </c>
      <c r="B285" s="113"/>
      <c r="C285" s="113"/>
      <c r="D285" s="113"/>
      <c r="E285" s="114"/>
      <c r="F285" s="115">
        <v>400</v>
      </c>
      <c r="G285" s="115">
        <v>100</v>
      </c>
      <c r="H285" s="115">
        <f t="shared" si="16"/>
        <v>500</v>
      </c>
    </row>
    <row r="286" spans="1:8" ht="21">
      <c r="A286" s="116" t="s">
        <v>229</v>
      </c>
      <c r="B286" s="117"/>
      <c r="C286" s="117"/>
      <c r="D286" s="117"/>
      <c r="E286" s="118"/>
      <c r="F286" s="119">
        <v>0</v>
      </c>
      <c r="G286" s="120">
        <v>100</v>
      </c>
      <c r="H286" s="119">
        <v>100</v>
      </c>
    </row>
    <row r="287" spans="1:8" ht="21">
      <c r="A287" s="112" t="s">
        <v>53</v>
      </c>
      <c r="B287" s="113"/>
      <c r="C287" s="113"/>
      <c r="D287" s="113"/>
      <c r="E287" s="114"/>
      <c r="F287" s="115">
        <v>68121</v>
      </c>
      <c r="G287" s="115">
        <v>0</v>
      </c>
      <c r="H287" s="115">
        <f>F287+G287</f>
        <v>68121</v>
      </c>
    </row>
    <row r="288" spans="1:8" ht="21">
      <c r="A288" s="116" t="s">
        <v>54</v>
      </c>
      <c r="B288" s="117"/>
      <c r="C288" s="117"/>
      <c r="D288" s="117"/>
      <c r="E288" s="118"/>
      <c r="F288" s="119">
        <v>1600</v>
      </c>
      <c r="G288" s="120">
        <v>0</v>
      </c>
      <c r="H288" s="119">
        <f>F288+G288</f>
        <v>1600</v>
      </c>
    </row>
    <row r="289" spans="1:8" ht="21">
      <c r="A289" s="112" t="s">
        <v>55</v>
      </c>
      <c r="B289" s="113"/>
      <c r="C289" s="113"/>
      <c r="D289" s="113"/>
      <c r="E289" s="114"/>
      <c r="F289" s="115">
        <v>18170.22</v>
      </c>
      <c r="G289" s="115">
        <v>0</v>
      </c>
      <c r="H289" s="115">
        <f aca="true" t="shared" si="17" ref="H289:H302">F289+G289</f>
        <v>18170.22</v>
      </c>
    </row>
    <row r="290" spans="1:8" ht="21">
      <c r="A290" s="116" t="s">
        <v>56</v>
      </c>
      <c r="B290" s="117"/>
      <c r="C290" s="117"/>
      <c r="D290" s="117"/>
      <c r="E290" s="118"/>
      <c r="F290" s="119">
        <v>4500</v>
      </c>
      <c r="G290" s="120">
        <v>0</v>
      </c>
      <c r="H290" s="119">
        <f t="shared" si="17"/>
        <v>4500</v>
      </c>
    </row>
    <row r="291" spans="1:8" ht="21">
      <c r="A291" s="112" t="s">
        <v>57</v>
      </c>
      <c r="B291" s="113"/>
      <c r="C291" s="113"/>
      <c r="D291" s="113"/>
      <c r="E291" s="114"/>
      <c r="F291" s="115">
        <v>839</v>
      </c>
      <c r="G291" s="115">
        <v>0</v>
      </c>
      <c r="H291" s="115">
        <f t="shared" si="17"/>
        <v>839</v>
      </c>
    </row>
    <row r="292" spans="1:8" ht="21">
      <c r="A292" s="116" t="s">
        <v>58</v>
      </c>
      <c r="B292" s="117"/>
      <c r="C292" s="117"/>
      <c r="D292" s="117"/>
      <c r="E292" s="118"/>
      <c r="F292" s="119">
        <v>2526139.03</v>
      </c>
      <c r="G292" s="120">
        <v>453851.06</v>
      </c>
      <c r="H292" s="119">
        <f t="shared" si="17"/>
        <v>2979990.09</v>
      </c>
    </row>
    <row r="293" spans="1:8" ht="21">
      <c r="A293" s="112" t="s">
        <v>59</v>
      </c>
      <c r="B293" s="113"/>
      <c r="C293" s="113"/>
      <c r="D293" s="113"/>
      <c r="E293" s="114"/>
      <c r="F293" s="115">
        <v>701383.34</v>
      </c>
      <c r="G293" s="115">
        <v>142787.13</v>
      </c>
      <c r="H293" s="115">
        <f t="shared" si="17"/>
        <v>844170.47</v>
      </c>
    </row>
    <row r="294" spans="1:8" ht="21">
      <c r="A294" s="116" t="s">
        <v>60</v>
      </c>
      <c r="B294" s="117"/>
      <c r="C294" s="117"/>
      <c r="D294" s="117"/>
      <c r="E294" s="118"/>
      <c r="F294" s="119">
        <v>24606.12</v>
      </c>
      <c r="G294" s="120">
        <v>0</v>
      </c>
      <c r="H294" s="119">
        <f t="shared" si="17"/>
        <v>24606.12</v>
      </c>
    </row>
    <row r="295" spans="1:8" ht="21">
      <c r="A295" s="112" t="s">
        <v>61</v>
      </c>
      <c r="B295" s="113"/>
      <c r="C295" s="113"/>
      <c r="D295" s="113"/>
      <c r="E295" s="114"/>
      <c r="F295" s="115">
        <v>422113.96</v>
      </c>
      <c r="G295" s="115">
        <v>88131.91</v>
      </c>
      <c r="H295" s="115">
        <f t="shared" si="17"/>
        <v>510245.87</v>
      </c>
    </row>
    <row r="296" spans="1:8" ht="21">
      <c r="A296" s="116" t="s">
        <v>62</v>
      </c>
      <c r="B296" s="117"/>
      <c r="C296" s="117"/>
      <c r="D296" s="117"/>
      <c r="E296" s="118"/>
      <c r="F296" s="119">
        <v>1106937.25</v>
      </c>
      <c r="G296" s="120">
        <v>195339.19</v>
      </c>
      <c r="H296" s="119">
        <f t="shared" si="17"/>
        <v>1302276.44</v>
      </c>
    </row>
    <row r="297" spans="1:8" ht="21">
      <c r="A297" s="112" t="s">
        <v>63</v>
      </c>
      <c r="B297" s="113"/>
      <c r="C297" s="113"/>
      <c r="D297" s="113"/>
      <c r="E297" s="114"/>
      <c r="F297" s="115">
        <v>53136.25</v>
      </c>
      <c r="G297" s="115">
        <v>0</v>
      </c>
      <c r="H297" s="115">
        <f t="shared" si="17"/>
        <v>53136.25</v>
      </c>
    </row>
    <row r="298" spans="1:8" ht="21">
      <c r="A298" s="116" t="s">
        <v>64</v>
      </c>
      <c r="B298" s="117"/>
      <c r="C298" s="117"/>
      <c r="D298" s="117"/>
      <c r="E298" s="118"/>
      <c r="F298" s="120">
        <v>22077.23</v>
      </c>
      <c r="G298" s="120">
        <v>10846.25</v>
      </c>
      <c r="H298" s="120">
        <f t="shared" si="17"/>
        <v>32923.479999999996</v>
      </c>
    </row>
    <row r="299" spans="1:8" ht="21">
      <c r="A299" s="112" t="s">
        <v>65</v>
      </c>
      <c r="B299" s="113"/>
      <c r="C299" s="113"/>
      <c r="D299" s="113"/>
      <c r="E299" s="114"/>
      <c r="F299" s="115">
        <v>0</v>
      </c>
      <c r="G299" s="115">
        <v>0</v>
      </c>
      <c r="H299" s="115">
        <f t="shared" si="17"/>
        <v>0</v>
      </c>
    </row>
    <row r="300" spans="1:8" ht="21">
      <c r="A300" s="116" t="s">
        <v>66</v>
      </c>
      <c r="B300" s="117"/>
      <c r="C300" s="117"/>
      <c r="D300" s="117"/>
      <c r="E300" s="118"/>
      <c r="F300" s="119">
        <v>237876</v>
      </c>
      <c r="G300" s="120">
        <v>0</v>
      </c>
      <c r="H300" s="119">
        <f t="shared" si="17"/>
        <v>237876</v>
      </c>
    </row>
    <row r="301" spans="1:8" ht="21">
      <c r="A301" s="112" t="s">
        <v>67</v>
      </c>
      <c r="B301" s="113"/>
      <c r="C301" s="113"/>
      <c r="D301" s="113"/>
      <c r="E301" s="114"/>
      <c r="F301" s="115">
        <f>D301+E301</f>
        <v>0</v>
      </c>
      <c r="G301" s="115">
        <v>0</v>
      </c>
      <c r="H301" s="115">
        <f t="shared" si="17"/>
        <v>0</v>
      </c>
    </row>
    <row r="302" spans="1:8" ht="21">
      <c r="A302" s="116" t="s">
        <v>68</v>
      </c>
      <c r="B302" s="117"/>
      <c r="C302" s="117"/>
      <c r="D302" s="117"/>
      <c r="E302" s="118"/>
      <c r="F302" s="119">
        <v>7445198</v>
      </c>
      <c r="G302" s="120">
        <v>0</v>
      </c>
      <c r="H302" s="119">
        <f t="shared" si="17"/>
        <v>7445198</v>
      </c>
    </row>
    <row r="303" spans="1:8" ht="21.75" thickBot="1">
      <c r="A303" s="121"/>
      <c r="B303" s="121"/>
      <c r="C303" s="121"/>
      <c r="D303" s="121"/>
      <c r="E303" s="121"/>
      <c r="F303" s="122">
        <f>F279+F280+F281+F282+F283+F284+F285+F286+F287+F288+F289+F290+F291+F292+F293+F294+F295+F296+F297+F298+F299+F300+F301+F302</f>
        <v>12707029.56</v>
      </c>
      <c r="G303" s="123">
        <f>G279+G280+G281+G282+G283+G284+G285+G286+G287+G288+G289+G290+G291+G292+G293+G294+G295+G296+G297+G298+G299+G300+G301+G302</f>
        <v>892488.3600000001</v>
      </c>
      <c r="H303" s="124">
        <f>H279+H280+H281+H282+H283+H284+H285+H286+H287+H288+H289+H290+H291+H292+H293+H294+H295+H296+H297+H298+H299+H300+H301+H302</f>
        <v>13599517.92</v>
      </c>
    </row>
    <row r="304" spans="1:8" ht="14.25" thickTop="1">
      <c r="A304" s="109"/>
      <c r="B304" s="109"/>
      <c r="C304" s="109"/>
      <c r="D304" s="109"/>
      <c r="E304" s="109"/>
      <c r="F304" s="109"/>
      <c r="G304" s="109"/>
      <c r="H304" s="109"/>
    </row>
    <row r="318" spans="1:8" ht="21">
      <c r="A318" s="283" t="s">
        <v>39</v>
      </c>
      <c r="B318" s="283"/>
      <c r="C318" s="283"/>
      <c r="D318" s="283"/>
      <c r="E318" s="283"/>
      <c r="F318" s="283"/>
      <c r="G318" s="283"/>
      <c r="H318" s="283"/>
    </row>
    <row r="319" spans="1:8" ht="18.75">
      <c r="A319" s="284" t="s">
        <v>224</v>
      </c>
      <c r="B319" s="284"/>
      <c r="C319" s="284"/>
      <c r="D319" s="284"/>
      <c r="E319" s="284"/>
      <c r="F319" s="284"/>
      <c r="G319" s="284"/>
      <c r="H319" s="284"/>
    </row>
    <row r="320" spans="1:8" ht="18.75">
      <c r="A320" s="284" t="s">
        <v>231</v>
      </c>
      <c r="B320" s="284"/>
      <c r="C320" s="284"/>
      <c r="D320" s="284"/>
      <c r="E320" s="284"/>
      <c r="F320" s="284"/>
      <c r="G320" s="284"/>
      <c r="H320" s="284"/>
    </row>
    <row r="321" spans="1:8" ht="13.5">
      <c r="A321" s="109"/>
      <c r="B321" s="109"/>
      <c r="C321" s="109"/>
      <c r="D321" s="109"/>
      <c r="E321" s="109"/>
      <c r="F321" s="109"/>
      <c r="G321" s="109"/>
      <c r="H321" s="109"/>
    </row>
    <row r="322" spans="1:8" ht="21">
      <c r="A322" s="285" t="s">
        <v>41</v>
      </c>
      <c r="B322" s="286"/>
      <c r="C322" s="286"/>
      <c r="D322" s="286"/>
      <c r="E322" s="275"/>
      <c r="F322" s="111" t="s">
        <v>42</v>
      </c>
      <c r="G322" s="111" t="s">
        <v>43</v>
      </c>
      <c r="H322" s="111" t="s">
        <v>44</v>
      </c>
    </row>
    <row r="323" spans="1:8" ht="21">
      <c r="A323" s="112" t="s">
        <v>45</v>
      </c>
      <c r="B323" s="113"/>
      <c r="C323" s="113"/>
      <c r="D323" s="113"/>
      <c r="E323" s="114"/>
      <c r="F323" s="115">
        <v>54771.3</v>
      </c>
      <c r="G323" s="115">
        <v>0</v>
      </c>
      <c r="H323" s="115">
        <f aca="true" t="shared" si="18" ref="H323:H329">F323+G323</f>
        <v>54771.3</v>
      </c>
    </row>
    <row r="324" spans="1:11" ht="21">
      <c r="A324" s="116" t="s">
        <v>46</v>
      </c>
      <c r="B324" s="117"/>
      <c r="C324" s="117"/>
      <c r="D324" s="117"/>
      <c r="E324" s="118"/>
      <c r="F324" s="119">
        <v>18643.68</v>
      </c>
      <c r="G324" s="120">
        <v>5861.32</v>
      </c>
      <c r="H324" s="119">
        <f t="shared" si="18"/>
        <v>24505</v>
      </c>
      <c r="K324">
        <v>9</v>
      </c>
    </row>
    <row r="325" spans="1:8" ht="21">
      <c r="A325" s="112" t="s">
        <v>47</v>
      </c>
      <c r="B325" s="113"/>
      <c r="C325" s="113"/>
      <c r="D325" s="113"/>
      <c r="E325" s="114"/>
      <c r="F325" s="115">
        <v>1850</v>
      </c>
      <c r="G325" s="115">
        <v>0</v>
      </c>
      <c r="H325" s="115">
        <f t="shared" si="18"/>
        <v>1850</v>
      </c>
    </row>
    <row r="326" spans="1:8" ht="21">
      <c r="A326" s="116" t="s">
        <v>48</v>
      </c>
      <c r="B326" s="117"/>
      <c r="C326" s="117"/>
      <c r="D326" s="117"/>
      <c r="E326" s="118"/>
      <c r="F326" s="119">
        <f>D326+E326</f>
        <v>0</v>
      </c>
      <c r="G326" s="120">
        <v>0</v>
      </c>
      <c r="H326" s="119">
        <f t="shared" si="18"/>
        <v>0</v>
      </c>
    </row>
    <row r="327" spans="1:8" ht="21">
      <c r="A327" s="112" t="s">
        <v>49</v>
      </c>
      <c r="B327" s="113"/>
      <c r="C327" s="113"/>
      <c r="D327" s="113"/>
      <c r="E327" s="114"/>
      <c r="F327" s="115">
        <f>D327+E327</f>
        <v>0</v>
      </c>
      <c r="G327" s="115">
        <v>0</v>
      </c>
      <c r="H327" s="115">
        <f t="shared" si="18"/>
        <v>0</v>
      </c>
    </row>
    <row r="328" spans="1:8" ht="21">
      <c r="A328" s="116" t="s">
        <v>50</v>
      </c>
      <c r="B328" s="117"/>
      <c r="C328" s="117"/>
      <c r="D328" s="117"/>
      <c r="E328" s="118"/>
      <c r="F328" s="119">
        <f>D328+E328</f>
        <v>0</v>
      </c>
      <c r="G328" s="120">
        <v>0</v>
      </c>
      <c r="H328" s="119">
        <f t="shared" si="18"/>
        <v>0</v>
      </c>
    </row>
    <row r="329" spans="1:8" ht="21">
      <c r="A329" s="112" t="s">
        <v>51</v>
      </c>
      <c r="B329" s="113"/>
      <c r="C329" s="113"/>
      <c r="D329" s="113"/>
      <c r="E329" s="114"/>
      <c r="F329" s="115">
        <v>500</v>
      </c>
      <c r="G329" s="115">
        <v>20</v>
      </c>
      <c r="H329" s="115">
        <f t="shared" si="18"/>
        <v>520</v>
      </c>
    </row>
    <row r="330" spans="1:8" ht="21">
      <c r="A330" s="116" t="s">
        <v>229</v>
      </c>
      <c r="B330" s="117"/>
      <c r="C330" s="117"/>
      <c r="D330" s="117"/>
      <c r="E330" s="118"/>
      <c r="F330" s="119">
        <v>100</v>
      </c>
      <c r="G330" s="120">
        <v>100</v>
      </c>
      <c r="H330" s="119">
        <v>200</v>
      </c>
    </row>
    <row r="331" spans="1:8" ht="21">
      <c r="A331" s="112" t="s">
        <v>53</v>
      </c>
      <c r="B331" s="113"/>
      <c r="C331" s="113"/>
      <c r="D331" s="113"/>
      <c r="E331" s="114"/>
      <c r="F331" s="115">
        <v>68121</v>
      </c>
      <c r="G331" s="115">
        <v>0</v>
      </c>
      <c r="H331" s="115">
        <f>F331+G331</f>
        <v>68121</v>
      </c>
    </row>
    <row r="332" spans="1:8" ht="21">
      <c r="A332" s="116" t="s">
        <v>54</v>
      </c>
      <c r="B332" s="117"/>
      <c r="C332" s="117"/>
      <c r="D332" s="117"/>
      <c r="E332" s="118"/>
      <c r="F332" s="119">
        <v>1600</v>
      </c>
      <c r="G332" s="120">
        <v>0</v>
      </c>
      <c r="H332" s="119">
        <f>F332+G332</f>
        <v>1600</v>
      </c>
    </row>
    <row r="333" spans="1:8" ht="21">
      <c r="A333" s="112" t="s">
        <v>55</v>
      </c>
      <c r="B333" s="113"/>
      <c r="C333" s="113"/>
      <c r="D333" s="113"/>
      <c r="E333" s="114"/>
      <c r="F333" s="115">
        <v>18170.22</v>
      </c>
      <c r="G333" s="115">
        <v>0</v>
      </c>
      <c r="H333" s="115">
        <f aca="true" t="shared" si="19" ref="H333:H346">F333+G333</f>
        <v>18170.22</v>
      </c>
    </row>
    <row r="334" spans="1:8" ht="21">
      <c r="A334" s="116" t="s">
        <v>56</v>
      </c>
      <c r="B334" s="117"/>
      <c r="C334" s="117"/>
      <c r="D334" s="117"/>
      <c r="E334" s="118"/>
      <c r="F334" s="119">
        <v>4500</v>
      </c>
      <c r="G334" s="120">
        <v>0</v>
      </c>
      <c r="H334" s="119">
        <f t="shared" si="19"/>
        <v>4500</v>
      </c>
    </row>
    <row r="335" spans="1:8" ht="21">
      <c r="A335" s="112" t="s">
        <v>57</v>
      </c>
      <c r="B335" s="113"/>
      <c r="C335" s="113"/>
      <c r="D335" s="113"/>
      <c r="E335" s="114"/>
      <c r="F335" s="115">
        <v>839</v>
      </c>
      <c r="G335" s="115">
        <v>0</v>
      </c>
      <c r="H335" s="115">
        <f t="shared" si="19"/>
        <v>839</v>
      </c>
    </row>
    <row r="336" spans="1:8" ht="21">
      <c r="A336" s="116" t="s">
        <v>58</v>
      </c>
      <c r="B336" s="117"/>
      <c r="C336" s="117"/>
      <c r="D336" s="117"/>
      <c r="E336" s="118"/>
      <c r="F336" s="119">
        <v>2979990.09</v>
      </c>
      <c r="G336" s="120">
        <v>0</v>
      </c>
      <c r="H336" s="119">
        <f t="shared" si="19"/>
        <v>2979990.09</v>
      </c>
    </row>
    <row r="337" spans="1:8" ht="21">
      <c r="A337" s="112" t="s">
        <v>59</v>
      </c>
      <c r="B337" s="113"/>
      <c r="C337" s="113"/>
      <c r="D337" s="113"/>
      <c r="E337" s="114"/>
      <c r="F337" s="115">
        <v>844170.47</v>
      </c>
      <c r="G337" s="115">
        <v>131285.91</v>
      </c>
      <c r="H337" s="115">
        <f t="shared" si="19"/>
        <v>975456.38</v>
      </c>
    </row>
    <row r="338" spans="1:8" ht="21">
      <c r="A338" s="116" t="s">
        <v>60</v>
      </c>
      <c r="B338" s="117"/>
      <c r="C338" s="117"/>
      <c r="D338" s="117"/>
      <c r="E338" s="118"/>
      <c r="F338" s="119">
        <v>24606.12</v>
      </c>
      <c r="G338" s="120">
        <v>0</v>
      </c>
      <c r="H338" s="119">
        <f t="shared" si="19"/>
        <v>24606.12</v>
      </c>
    </row>
    <row r="339" spans="1:8" ht="21">
      <c r="A339" s="112" t="s">
        <v>61</v>
      </c>
      <c r="B339" s="113"/>
      <c r="C339" s="113"/>
      <c r="D339" s="113"/>
      <c r="E339" s="114"/>
      <c r="F339" s="115">
        <v>510245.87</v>
      </c>
      <c r="G339" s="115">
        <v>69505.7</v>
      </c>
      <c r="H339" s="115">
        <f t="shared" si="19"/>
        <v>579751.57</v>
      </c>
    </row>
    <row r="340" spans="1:8" ht="21">
      <c r="A340" s="116" t="s">
        <v>62</v>
      </c>
      <c r="B340" s="117"/>
      <c r="C340" s="117"/>
      <c r="D340" s="117"/>
      <c r="E340" s="118"/>
      <c r="F340" s="119">
        <v>1302276.44</v>
      </c>
      <c r="G340" s="120">
        <v>195066.01</v>
      </c>
      <c r="H340" s="119">
        <f t="shared" si="19"/>
        <v>1497342.45</v>
      </c>
    </row>
    <row r="341" spans="1:8" ht="21">
      <c r="A341" s="112" t="s">
        <v>63</v>
      </c>
      <c r="B341" s="113"/>
      <c r="C341" s="113"/>
      <c r="D341" s="113"/>
      <c r="E341" s="114"/>
      <c r="F341" s="115">
        <v>53136.25</v>
      </c>
      <c r="G341" s="115">
        <v>0</v>
      </c>
      <c r="H341" s="115">
        <f t="shared" si="19"/>
        <v>53136.25</v>
      </c>
    </row>
    <row r="342" spans="1:8" ht="21">
      <c r="A342" s="116" t="s">
        <v>64</v>
      </c>
      <c r="B342" s="117"/>
      <c r="C342" s="117"/>
      <c r="D342" s="117"/>
      <c r="E342" s="118"/>
      <c r="F342" s="120">
        <v>32923.48</v>
      </c>
      <c r="G342" s="120">
        <v>0</v>
      </c>
      <c r="H342" s="120">
        <f t="shared" si="19"/>
        <v>32923.48</v>
      </c>
    </row>
    <row r="343" spans="1:8" ht="21">
      <c r="A343" s="112" t="s">
        <v>65</v>
      </c>
      <c r="B343" s="113"/>
      <c r="C343" s="113"/>
      <c r="D343" s="113"/>
      <c r="E343" s="114"/>
      <c r="F343" s="115">
        <v>0</v>
      </c>
      <c r="G343" s="115">
        <v>2738.2</v>
      </c>
      <c r="H343" s="115">
        <f t="shared" si="19"/>
        <v>2738.2</v>
      </c>
    </row>
    <row r="344" spans="1:8" ht="21">
      <c r="A344" s="116" t="s">
        <v>66</v>
      </c>
      <c r="B344" s="117"/>
      <c r="C344" s="117"/>
      <c r="D344" s="117"/>
      <c r="E344" s="118"/>
      <c r="F344" s="119">
        <v>237876</v>
      </c>
      <c r="G344" s="120">
        <v>74270</v>
      </c>
      <c r="H344" s="119">
        <f t="shared" si="19"/>
        <v>312146</v>
      </c>
    </row>
    <row r="345" spans="1:8" ht="21">
      <c r="A345" s="112" t="s">
        <v>67</v>
      </c>
      <c r="B345" s="113"/>
      <c r="C345" s="113"/>
      <c r="D345" s="113"/>
      <c r="E345" s="114"/>
      <c r="F345" s="115">
        <f>D345+E345</f>
        <v>0</v>
      </c>
      <c r="G345" s="115">
        <v>0</v>
      </c>
      <c r="H345" s="115">
        <f t="shared" si="19"/>
        <v>0</v>
      </c>
    </row>
    <row r="346" spans="1:8" ht="21">
      <c r="A346" s="116" t="s">
        <v>68</v>
      </c>
      <c r="B346" s="117"/>
      <c r="C346" s="117"/>
      <c r="D346" s="117"/>
      <c r="E346" s="118"/>
      <c r="F346" s="119">
        <v>7445198</v>
      </c>
      <c r="G346" s="120">
        <v>0</v>
      </c>
      <c r="H346" s="119">
        <f t="shared" si="19"/>
        <v>7445198</v>
      </c>
    </row>
    <row r="347" spans="1:8" ht="21.75" thickBot="1">
      <c r="A347" s="121"/>
      <c r="B347" s="121"/>
      <c r="C347" s="121"/>
      <c r="D347" s="121"/>
      <c r="E347" s="121"/>
      <c r="F347" s="122">
        <f>F323+F324+F325+F326+F327+F328+F329+F330+F331+F332+F333+F334+F335+F336+F337+F338+F339+F340+F341+F342+F343+F344+F345+F346</f>
        <v>13599517.92</v>
      </c>
      <c r="G347" s="123">
        <f>G323+G324+G325+G326+G327+G328+G329+G330+G331+G332+G333+G334+G335+G336+G337+G338+G339+G340+G341+G342+G343+G344+G345+G346</f>
        <v>478847.14</v>
      </c>
      <c r="H347" s="124">
        <f>F347+G347</f>
        <v>14078365.06</v>
      </c>
    </row>
    <row r="348" spans="1:8" ht="14.25" thickTop="1">
      <c r="A348" s="109"/>
      <c r="B348" s="109"/>
      <c r="C348" s="109"/>
      <c r="D348" s="109"/>
      <c r="E348" s="109"/>
      <c r="F348" s="109"/>
      <c r="G348" s="109"/>
      <c r="H348" s="109"/>
    </row>
    <row r="362" spans="1:8" ht="21">
      <c r="A362" s="283" t="s">
        <v>39</v>
      </c>
      <c r="B362" s="283"/>
      <c r="C362" s="283"/>
      <c r="D362" s="283"/>
      <c r="E362" s="283"/>
      <c r="F362" s="283"/>
      <c r="G362" s="283"/>
      <c r="H362" s="283"/>
    </row>
    <row r="363" spans="1:8" ht="18.75">
      <c r="A363" s="284" t="s">
        <v>224</v>
      </c>
      <c r="B363" s="284"/>
      <c r="C363" s="284"/>
      <c r="D363" s="284"/>
      <c r="E363" s="284"/>
      <c r="F363" s="284"/>
      <c r="G363" s="284"/>
      <c r="H363" s="284"/>
    </row>
    <row r="364" spans="1:8" ht="18.75">
      <c r="A364" s="284" t="s">
        <v>233</v>
      </c>
      <c r="B364" s="284"/>
      <c r="C364" s="284"/>
      <c r="D364" s="284"/>
      <c r="E364" s="284"/>
      <c r="F364" s="284"/>
      <c r="G364" s="284"/>
      <c r="H364" s="284"/>
    </row>
    <row r="365" spans="1:8" ht="13.5">
      <c r="A365" s="109"/>
      <c r="B365" s="109"/>
      <c r="C365" s="109"/>
      <c r="D365" s="109"/>
      <c r="E365" s="109"/>
      <c r="F365" s="109"/>
      <c r="G365" s="109"/>
      <c r="H365" s="109"/>
    </row>
    <row r="366" spans="1:8" ht="21">
      <c r="A366" s="285" t="s">
        <v>41</v>
      </c>
      <c r="B366" s="286"/>
      <c r="C366" s="286"/>
      <c r="D366" s="286"/>
      <c r="E366" s="275"/>
      <c r="F366" s="111" t="s">
        <v>42</v>
      </c>
      <c r="G366" s="111" t="s">
        <v>43</v>
      </c>
      <c r="H366" s="111" t="s">
        <v>44</v>
      </c>
    </row>
    <row r="367" spans="1:8" ht="21">
      <c r="A367" s="112" t="s">
        <v>45</v>
      </c>
      <c r="B367" s="113"/>
      <c r="C367" s="113"/>
      <c r="D367" s="113"/>
      <c r="E367" s="114"/>
      <c r="F367" s="115">
        <v>54771.3</v>
      </c>
      <c r="G367" s="115">
        <v>0</v>
      </c>
      <c r="H367" s="115">
        <f aca="true" t="shared" si="20" ref="H367:H373">F367+G367</f>
        <v>54771.3</v>
      </c>
    </row>
    <row r="368" spans="1:8" ht="21">
      <c r="A368" s="116" t="s">
        <v>46</v>
      </c>
      <c r="B368" s="117"/>
      <c r="C368" s="117"/>
      <c r="D368" s="117"/>
      <c r="E368" s="118"/>
      <c r="F368" s="119">
        <v>24505</v>
      </c>
      <c r="G368" s="120">
        <v>2173.05</v>
      </c>
      <c r="H368" s="119">
        <f t="shared" si="20"/>
        <v>26678.05</v>
      </c>
    </row>
    <row r="369" spans="1:8" ht="21">
      <c r="A369" s="112" t="s">
        <v>47</v>
      </c>
      <c r="B369" s="113"/>
      <c r="C369" s="113"/>
      <c r="D369" s="113"/>
      <c r="E369" s="114"/>
      <c r="F369" s="115">
        <v>1850</v>
      </c>
      <c r="G369" s="115">
        <v>0</v>
      </c>
      <c r="H369" s="115">
        <f t="shared" si="20"/>
        <v>1850</v>
      </c>
    </row>
    <row r="370" spans="1:8" ht="21">
      <c r="A370" s="116" t="s">
        <v>48</v>
      </c>
      <c r="B370" s="117"/>
      <c r="C370" s="117"/>
      <c r="D370" s="117"/>
      <c r="E370" s="118"/>
      <c r="F370" s="119">
        <f>D370+E370</f>
        <v>0</v>
      </c>
      <c r="G370" s="120">
        <v>0</v>
      </c>
      <c r="H370" s="119">
        <f t="shared" si="20"/>
        <v>0</v>
      </c>
    </row>
    <row r="371" spans="1:8" ht="21">
      <c r="A371" s="112" t="s">
        <v>49</v>
      </c>
      <c r="B371" s="113"/>
      <c r="C371" s="113"/>
      <c r="D371" s="113"/>
      <c r="E371" s="114"/>
      <c r="F371" s="115">
        <f>D371+E371</f>
        <v>0</v>
      </c>
      <c r="G371" s="115">
        <v>0</v>
      </c>
      <c r="H371" s="115">
        <f t="shared" si="20"/>
        <v>0</v>
      </c>
    </row>
    <row r="372" spans="1:8" ht="21">
      <c r="A372" s="116" t="s">
        <v>50</v>
      </c>
      <c r="B372" s="117"/>
      <c r="C372" s="117"/>
      <c r="D372" s="117"/>
      <c r="E372" s="118"/>
      <c r="F372" s="119">
        <f>D372+E372</f>
        <v>0</v>
      </c>
      <c r="G372" s="120">
        <v>0</v>
      </c>
      <c r="H372" s="119">
        <f t="shared" si="20"/>
        <v>0</v>
      </c>
    </row>
    <row r="373" spans="1:8" ht="21">
      <c r="A373" s="112" t="s">
        <v>51</v>
      </c>
      <c r="B373" s="113"/>
      <c r="C373" s="113"/>
      <c r="D373" s="113"/>
      <c r="E373" s="114"/>
      <c r="F373" s="115">
        <v>520</v>
      </c>
      <c r="G373" s="115">
        <v>0</v>
      </c>
      <c r="H373" s="115">
        <f t="shared" si="20"/>
        <v>520</v>
      </c>
    </row>
    <row r="374" spans="1:8" ht="21">
      <c r="A374" s="116" t="s">
        <v>229</v>
      </c>
      <c r="B374" s="117"/>
      <c r="C374" s="117"/>
      <c r="D374" s="117"/>
      <c r="E374" s="118"/>
      <c r="F374" s="119">
        <v>200</v>
      </c>
      <c r="G374" s="120">
        <v>0</v>
      </c>
      <c r="H374" s="119">
        <v>200</v>
      </c>
    </row>
    <row r="375" spans="1:8" ht="21">
      <c r="A375" s="112" t="s">
        <v>53</v>
      </c>
      <c r="B375" s="113"/>
      <c r="C375" s="113"/>
      <c r="D375" s="113"/>
      <c r="E375" s="114"/>
      <c r="F375" s="115">
        <v>68121</v>
      </c>
      <c r="G375" s="115">
        <v>0</v>
      </c>
      <c r="H375" s="115">
        <f>F375+G375</f>
        <v>68121</v>
      </c>
    </row>
    <row r="376" spans="1:8" ht="21">
      <c r="A376" s="116" t="s">
        <v>54</v>
      </c>
      <c r="B376" s="117"/>
      <c r="C376" s="117"/>
      <c r="D376" s="117"/>
      <c r="E376" s="118"/>
      <c r="F376" s="119">
        <v>1600</v>
      </c>
      <c r="G376" s="120">
        <v>0</v>
      </c>
      <c r="H376" s="119">
        <f>F376+G376</f>
        <v>1600</v>
      </c>
    </row>
    <row r="377" spans="1:8" ht="21">
      <c r="A377" s="112" t="s">
        <v>55</v>
      </c>
      <c r="B377" s="113"/>
      <c r="C377" s="113"/>
      <c r="D377" s="113"/>
      <c r="E377" s="114"/>
      <c r="F377" s="115">
        <v>18170.22</v>
      </c>
      <c r="G377" s="115">
        <v>10562.19</v>
      </c>
      <c r="H377" s="115">
        <f aca="true" t="shared" si="21" ref="H377:H390">F377+G377</f>
        <v>28732.410000000003</v>
      </c>
    </row>
    <row r="378" spans="1:8" ht="21">
      <c r="A378" s="116" t="s">
        <v>56</v>
      </c>
      <c r="B378" s="117"/>
      <c r="C378" s="117"/>
      <c r="D378" s="117"/>
      <c r="E378" s="118"/>
      <c r="F378" s="119">
        <v>4500</v>
      </c>
      <c r="G378" s="120">
        <v>2500</v>
      </c>
      <c r="H378" s="119">
        <f t="shared" si="21"/>
        <v>7000</v>
      </c>
    </row>
    <row r="379" spans="1:8" ht="21">
      <c r="A379" s="112" t="s">
        <v>57</v>
      </c>
      <c r="B379" s="113"/>
      <c r="C379" s="113"/>
      <c r="D379" s="113"/>
      <c r="E379" s="114"/>
      <c r="F379" s="115">
        <v>839</v>
      </c>
      <c r="G379" s="115">
        <v>0</v>
      </c>
      <c r="H379" s="115">
        <f t="shared" si="21"/>
        <v>839</v>
      </c>
    </row>
    <row r="380" spans="1:8" ht="21">
      <c r="A380" s="116" t="s">
        <v>58</v>
      </c>
      <c r="B380" s="117"/>
      <c r="C380" s="117"/>
      <c r="D380" s="117"/>
      <c r="E380" s="118"/>
      <c r="F380" s="119">
        <v>2979990.09</v>
      </c>
      <c r="G380" s="120">
        <v>966141.72</v>
      </c>
      <c r="H380" s="119">
        <f t="shared" si="21"/>
        <v>3946131.8099999996</v>
      </c>
    </row>
    <row r="381" spans="1:8" ht="21">
      <c r="A381" s="112" t="s">
        <v>59</v>
      </c>
      <c r="B381" s="113"/>
      <c r="C381" s="113"/>
      <c r="D381" s="113"/>
      <c r="E381" s="114"/>
      <c r="F381" s="115">
        <v>975456.38</v>
      </c>
      <c r="G381" s="115">
        <v>163244.99</v>
      </c>
      <c r="H381" s="115">
        <f t="shared" si="21"/>
        <v>1138701.37</v>
      </c>
    </row>
    <row r="382" spans="1:8" ht="21">
      <c r="A382" s="116" t="s">
        <v>60</v>
      </c>
      <c r="B382" s="117"/>
      <c r="C382" s="117"/>
      <c r="D382" s="117"/>
      <c r="E382" s="118"/>
      <c r="F382" s="119">
        <v>24606.12</v>
      </c>
      <c r="G382" s="120">
        <v>0</v>
      </c>
      <c r="H382" s="119">
        <f t="shared" si="21"/>
        <v>24606.12</v>
      </c>
    </row>
    <row r="383" spans="1:8" ht="21">
      <c r="A383" s="112" t="s">
        <v>61</v>
      </c>
      <c r="B383" s="113"/>
      <c r="C383" s="113"/>
      <c r="D383" s="113"/>
      <c r="E383" s="114"/>
      <c r="F383" s="115">
        <v>579751.57</v>
      </c>
      <c r="G383" s="115">
        <v>67357.95</v>
      </c>
      <c r="H383" s="115">
        <f t="shared" si="21"/>
        <v>647109.5199999999</v>
      </c>
    </row>
    <row r="384" spans="1:8" ht="21">
      <c r="A384" s="116" t="s">
        <v>62</v>
      </c>
      <c r="B384" s="117"/>
      <c r="C384" s="117"/>
      <c r="D384" s="117"/>
      <c r="E384" s="118"/>
      <c r="F384" s="119">
        <v>1497342.45</v>
      </c>
      <c r="G384" s="120">
        <v>128604.28</v>
      </c>
      <c r="H384" s="119">
        <f t="shared" si="21"/>
        <v>1625946.73</v>
      </c>
    </row>
    <row r="385" spans="1:8" ht="21">
      <c r="A385" s="112" t="s">
        <v>63</v>
      </c>
      <c r="B385" s="113"/>
      <c r="C385" s="113"/>
      <c r="D385" s="113"/>
      <c r="E385" s="114"/>
      <c r="F385" s="115">
        <v>53136.25</v>
      </c>
      <c r="G385" s="115">
        <v>0</v>
      </c>
      <c r="H385" s="115">
        <f t="shared" si="21"/>
        <v>53136.25</v>
      </c>
    </row>
    <row r="386" spans="1:8" ht="21">
      <c r="A386" s="116" t="s">
        <v>64</v>
      </c>
      <c r="B386" s="117"/>
      <c r="C386" s="117"/>
      <c r="D386" s="117"/>
      <c r="E386" s="118"/>
      <c r="F386" s="120">
        <v>32923.48</v>
      </c>
      <c r="G386" s="120">
        <v>0</v>
      </c>
      <c r="H386" s="120">
        <f t="shared" si="21"/>
        <v>32923.48</v>
      </c>
    </row>
    <row r="387" spans="1:8" ht="21">
      <c r="A387" s="112" t="s">
        <v>65</v>
      </c>
      <c r="B387" s="113"/>
      <c r="C387" s="113"/>
      <c r="D387" s="113"/>
      <c r="E387" s="114"/>
      <c r="F387" s="115">
        <v>2738.2</v>
      </c>
      <c r="G387" s="115">
        <v>0</v>
      </c>
      <c r="H387" s="115">
        <f t="shared" si="21"/>
        <v>2738.2</v>
      </c>
    </row>
    <row r="388" spans="1:8" ht="21">
      <c r="A388" s="116" t="s">
        <v>66</v>
      </c>
      <c r="B388" s="117"/>
      <c r="C388" s="117"/>
      <c r="D388" s="117"/>
      <c r="E388" s="118"/>
      <c r="F388" s="119">
        <v>312146</v>
      </c>
      <c r="G388" s="120">
        <v>36950</v>
      </c>
      <c r="H388" s="119">
        <f t="shared" si="21"/>
        <v>349096</v>
      </c>
    </row>
    <row r="389" spans="1:8" ht="21">
      <c r="A389" s="112" t="s">
        <v>67</v>
      </c>
      <c r="B389" s="113"/>
      <c r="C389" s="113"/>
      <c r="D389" s="113"/>
      <c r="E389" s="114"/>
      <c r="F389" s="115">
        <f>D389+E389</f>
        <v>0</v>
      </c>
      <c r="G389" s="115">
        <v>0</v>
      </c>
      <c r="H389" s="115">
        <f t="shared" si="21"/>
        <v>0</v>
      </c>
    </row>
    <row r="390" spans="1:8" ht="21">
      <c r="A390" s="116" t="s">
        <v>68</v>
      </c>
      <c r="B390" s="117"/>
      <c r="C390" s="117"/>
      <c r="D390" s="117"/>
      <c r="E390" s="118"/>
      <c r="F390" s="119">
        <v>7445198</v>
      </c>
      <c r="G390" s="120">
        <v>0</v>
      </c>
      <c r="H390" s="119">
        <f t="shared" si="21"/>
        <v>7445198</v>
      </c>
    </row>
    <row r="391" spans="1:8" ht="21.75" thickBot="1">
      <c r="A391" s="121"/>
      <c r="B391" s="121"/>
      <c r="C391" s="121"/>
      <c r="D391" s="121"/>
      <c r="E391" s="121"/>
      <c r="F391" s="122">
        <f>F367+F368+F369+F370+F371+F372+F373+F374+F375+F376+F377+F378+F379+F380+F381+F382+F383+F384+F385+F386+F387+F388+F389+F390</f>
        <v>14078365.06</v>
      </c>
      <c r="G391" s="123">
        <f>G367+G368+G369+G370+G371+G372+G373+G374+G375+G376+G377+G378+G379+G380+G381+G382+G383+G384+G385+G386+G387+G388+G389+G390</f>
        <v>1377534.18</v>
      </c>
      <c r="H391" s="124">
        <f>F391+G391</f>
        <v>15455899.24</v>
      </c>
    </row>
    <row r="392" ht="13.5" thickTop="1"/>
    <row r="407" spans="1:8" ht="21">
      <c r="A407" s="283" t="s">
        <v>39</v>
      </c>
      <c r="B407" s="283"/>
      <c r="C407" s="283"/>
      <c r="D407" s="283"/>
      <c r="E407" s="283"/>
      <c r="F407" s="283"/>
      <c r="G407" s="283"/>
      <c r="H407" s="283"/>
    </row>
    <row r="408" spans="1:8" ht="18.75">
      <c r="A408" s="284" t="s">
        <v>224</v>
      </c>
      <c r="B408" s="284"/>
      <c r="C408" s="284"/>
      <c r="D408" s="284"/>
      <c r="E408" s="284"/>
      <c r="F408" s="284"/>
      <c r="G408" s="284"/>
      <c r="H408" s="284"/>
    </row>
    <row r="409" spans="1:8" ht="18.75">
      <c r="A409" s="284" t="s">
        <v>235</v>
      </c>
      <c r="B409" s="284"/>
      <c r="C409" s="284"/>
      <c r="D409" s="284"/>
      <c r="E409" s="284"/>
      <c r="F409" s="284"/>
      <c r="G409" s="284"/>
      <c r="H409" s="284"/>
    </row>
    <row r="410" spans="1:8" ht="13.5">
      <c r="A410" s="109"/>
      <c r="B410" s="109"/>
      <c r="C410" s="109"/>
      <c r="D410" s="109"/>
      <c r="E410" s="109"/>
      <c r="F410" s="109"/>
      <c r="G410" s="109"/>
      <c r="H410" s="109"/>
    </row>
    <row r="411" spans="1:8" ht="21">
      <c r="A411" s="285" t="s">
        <v>41</v>
      </c>
      <c r="B411" s="286"/>
      <c r="C411" s="286"/>
      <c r="D411" s="286"/>
      <c r="E411" s="275"/>
      <c r="F411" s="111" t="s">
        <v>42</v>
      </c>
      <c r="G411" s="111" t="s">
        <v>43</v>
      </c>
      <c r="H411" s="111" t="s">
        <v>44</v>
      </c>
    </row>
    <row r="412" spans="1:8" ht="21">
      <c r="A412" s="112" t="s">
        <v>45</v>
      </c>
      <c r="B412" s="113"/>
      <c r="C412" s="113"/>
      <c r="D412" s="113"/>
      <c r="E412" s="114"/>
      <c r="F412" s="115">
        <v>54771.3</v>
      </c>
      <c r="G412" s="115">
        <v>7006.25</v>
      </c>
      <c r="H412" s="115">
        <f aca="true" t="shared" si="22" ref="H412:H418">F412+G412</f>
        <v>61777.55</v>
      </c>
    </row>
    <row r="413" spans="1:8" ht="21">
      <c r="A413" s="116" t="s">
        <v>46</v>
      </c>
      <c r="B413" s="117"/>
      <c r="C413" s="117"/>
      <c r="D413" s="117"/>
      <c r="E413" s="118"/>
      <c r="F413" s="119">
        <v>26678.05</v>
      </c>
      <c r="G413" s="120">
        <v>1250.35</v>
      </c>
      <c r="H413" s="119">
        <f t="shared" si="22"/>
        <v>27928.399999999998</v>
      </c>
    </row>
    <row r="414" spans="1:8" ht="21">
      <c r="A414" s="112" t="s">
        <v>47</v>
      </c>
      <c r="B414" s="113"/>
      <c r="C414" s="113"/>
      <c r="D414" s="113"/>
      <c r="E414" s="114"/>
      <c r="F414" s="115">
        <v>1850</v>
      </c>
      <c r="G414" s="115">
        <v>0</v>
      </c>
      <c r="H414" s="115">
        <f t="shared" si="22"/>
        <v>1850</v>
      </c>
    </row>
    <row r="415" spans="1:8" ht="21">
      <c r="A415" s="116" t="s">
        <v>48</v>
      </c>
      <c r="B415" s="117"/>
      <c r="C415" s="117"/>
      <c r="D415" s="117"/>
      <c r="E415" s="118"/>
      <c r="F415" s="119">
        <f>D415+E415</f>
        <v>0</v>
      </c>
      <c r="G415" s="120">
        <v>0</v>
      </c>
      <c r="H415" s="119">
        <f t="shared" si="22"/>
        <v>0</v>
      </c>
    </row>
    <row r="416" spans="1:8" ht="21">
      <c r="A416" s="112" t="s">
        <v>49</v>
      </c>
      <c r="B416" s="113"/>
      <c r="C416" s="113"/>
      <c r="D416" s="113"/>
      <c r="E416" s="114"/>
      <c r="F416" s="115">
        <f>D416+E416</f>
        <v>0</v>
      </c>
      <c r="G416" s="115">
        <v>0</v>
      </c>
      <c r="H416" s="115">
        <f t="shared" si="22"/>
        <v>0</v>
      </c>
    </row>
    <row r="417" spans="1:8" ht="21">
      <c r="A417" s="116" t="s">
        <v>237</v>
      </c>
      <c r="B417" s="117"/>
      <c r="C417" s="117"/>
      <c r="D417" s="117"/>
      <c r="E417" s="118"/>
      <c r="F417" s="119">
        <f>D417+E417</f>
        <v>0</v>
      </c>
      <c r="G417" s="120">
        <v>10</v>
      </c>
      <c r="H417" s="119">
        <f t="shared" si="22"/>
        <v>10</v>
      </c>
    </row>
    <row r="418" spans="1:8" ht="21">
      <c r="A418" s="112" t="s">
        <v>51</v>
      </c>
      <c r="B418" s="113"/>
      <c r="C418" s="113"/>
      <c r="D418" s="113"/>
      <c r="E418" s="114"/>
      <c r="F418" s="115">
        <v>520</v>
      </c>
      <c r="G418" s="115">
        <v>200</v>
      </c>
      <c r="H418" s="115">
        <f t="shared" si="22"/>
        <v>720</v>
      </c>
    </row>
    <row r="419" spans="1:8" ht="21">
      <c r="A419" s="116" t="s">
        <v>229</v>
      </c>
      <c r="B419" s="117"/>
      <c r="C419" s="117"/>
      <c r="D419" s="117"/>
      <c r="E419" s="118"/>
      <c r="F419" s="119">
        <v>200</v>
      </c>
      <c r="G419" s="120">
        <v>50</v>
      </c>
      <c r="H419" s="119">
        <v>200</v>
      </c>
    </row>
    <row r="420" spans="1:8" ht="21">
      <c r="A420" s="112" t="s">
        <v>53</v>
      </c>
      <c r="B420" s="113"/>
      <c r="C420" s="113"/>
      <c r="D420" s="113"/>
      <c r="E420" s="114"/>
      <c r="F420" s="115">
        <v>68121</v>
      </c>
      <c r="G420" s="115">
        <v>0</v>
      </c>
      <c r="H420" s="115">
        <f>F420+G420</f>
        <v>68121</v>
      </c>
    </row>
    <row r="421" spans="1:8" ht="21">
      <c r="A421" s="116" t="s">
        <v>54</v>
      </c>
      <c r="B421" s="117"/>
      <c r="C421" s="117"/>
      <c r="D421" s="117"/>
      <c r="E421" s="118"/>
      <c r="F421" s="119">
        <v>1600</v>
      </c>
      <c r="G421" s="120">
        <v>0</v>
      </c>
      <c r="H421" s="119">
        <f>F421+G421</f>
        <v>1600</v>
      </c>
    </row>
    <row r="422" spans="1:8" ht="21">
      <c r="A422" s="112" t="s">
        <v>55</v>
      </c>
      <c r="B422" s="113"/>
      <c r="C422" s="113"/>
      <c r="D422" s="113"/>
      <c r="E422" s="114"/>
      <c r="F422" s="115">
        <v>28732.41</v>
      </c>
      <c r="G422" s="115">
        <v>0</v>
      </c>
      <c r="H422" s="115">
        <f aca="true" t="shared" si="23" ref="H422:H435">F422+G422</f>
        <v>28732.41</v>
      </c>
    </row>
    <row r="423" spans="1:8" ht="21">
      <c r="A423" s="116" t="s">
        <v>56</v>
      </c>
      <c r="B423" s="117"/>
      <c r="C423" s="117"/>
      <c r="D423" s="117"/>
      <c r="E423" s="118"/>
      <c r="F423" s="119">
        <v>7000</v>
      </c>
      <c r="G423" s="120">
        <v>35000</v>
      </c>
      <c r="H423" s="119">
        <f t="shared" si="23"/>
        <v>42000</v>
      </c>
    </row>
    <row r="424" spans="1:8" ht="21">
      <c r="A424" s="112" t="s">
        <v>57</v>
      </c>
      <c r="B424" s="113"/>
      <c r="C424" s="113"/>
      <c r="D424" s="113"/>
      <c r="E424" s="114"/>
      <c r="F424" s="115">
        <v>839</v>
      </c>
      <c r="G424" s="115">
        <v>0</v>
      </c>
      <c r="H424" s="115">
        <f t="shared" si="23"/>
        <v>839</v>
      </c>
    </row>
    <row r="425" spans="1:8" ht="21">
      <c r="A425" s="116" t="s">
        <v>58</v>
      </c>
      <c r="B425" s="117"/>
      <c r="C425" s="117"/>
      <c r="D425" s="117"/>
      <c r="E425" s="118"/>
      <c r="F425" s="119">
        <v>3946131.81</v>
      </c>
      <c r="G425" s="120">
        <v>584612.35</v>
      </c>
      <c r="H425" s="119">
        <f t="shared" si="23"/>
        <v>4530744.16</v>
      </c>
    </row>
    <row r="426" spans="1:8" ht="21">
      <c r="A426" s="112" t="s">
        <v>59</v>
      </c>
      <c r="B426" s="113"/>
      <c r="C426" s="113"/>
      <c r="D426" s="113"/>
      <c r="E426" s="114"/>
      <c r="F426" s="115">
        <v>1138701.37</v>
      </c>
      <c r="G426" s="115">
        <v>148057.86</v>
      </c>
      <c r="H426" s="115">
        <f t="shared" si="23"/>
        <v>1286759.23</v>
      </c>
    </row>
    <row r="427" spans="1:8" ht="21">
      <c r="A427" s="116" t="s">
        <v>60</v>
      </c>
      <c r="B427" s="117"/>
      <c r="C427" s="117"/>
      <c r="D427" s="117"/>
      <c r="E427" s="118"/>
      <c r="F427" s="119">
        <v>24606.12</v>
      </c>
      <c r="G427" s="120">
        <v>12971.5</v>
      </c>
      <c r="H427" s="119">
        <f t="shared" si="23"/>
        <v>37577.619999999995</v>
      </c>
    </row>
    <row r="428" spans="1:8" ht="21">
      <c r="A428" s="112" t="s">
        <v>61</v>
      </c>
      <c r="B428" s="113"/>
      <c r="C428" s="113"/>
      <c r="D428" s="113"/>
      <c r="E428" s="114"/>
      <c r="F428" s="115">
        <v>647109.52</v>
      </c>
      <c r="G428" s="115">
        <v>63057.73</v>
      </c>
      <c r="H428" s="115">
        <f t="shared" si="23"/>
        <v>710167.25</v>
      </c>
    </row>
    <row r="429" spans="1:8" ht="21">
      <c r="A429" s="116" t="s">
        <v>62</v>
      </c>
      <c r="B429" s="117"/>
      <c r="C429" s="117"/>
      <c r="D429" s="117"/>
      <c r="E429" s="118"/>
      <c r="F429" s="119">
        <v>1625946.73</v>
      </c>
      <c r="G429" s="120">
        <v>115066.99</v>
      </c>
      <c r="H429" s="119">
        <f t="shared" si="23"/>
        <v>1741013.72</v>
      </c>
    </row>
    <row r="430" spans="1:8" ht="21">
      <c r="A430" s="112" t="s">
        <v>63</v>
      </c>
      <c r="B430" s="113"/>
      <c r="C430" s="113"/>
      <c r="D430" s="113"/>
      <c r="E430" s="114"/>
      <c r="F430" s="115">
        <v>53136.25</v>
      </c>
      <c r="G430" s="115">
        <v>0</v>
      </c>
      <c r="H430" s="115">
        <f t="shared" si="23"/>
        <v>53136.25</v>
      </c>
    </row>
    <row r="431" spans="1:8" ht="21">
      <c r="A431" s="116" t="s">
        <v>64</v>
      </c>
      <c r="B431" s="117"/>
      <c r="C431" s="117"/>
      <c r="D431" s="117"/>
      <c r="E431" s="118"/>
      <c r="F431" s="120">
        <v>32923.48</v>
      </c>
      <c r="G431" s="120">
        <v>12069.98</v>
      </c>
      <c r="H431" s="120">
        <f t="shared" si="23"/>
        <v>44993.46000000001</v>
      </c>
    </row>
    <row r="432" spans="1:8" ht="21">
      <c r="A432" s="112" t="s">
        <v>65</v>
      </c>
      <c r="B432" s="113"/>
      <c r="C432" s="113"/>
      <c r="D432" s="113"/>
      <c r="E432" s="114"/>
      <c r="F432" s="115">
        <v>2738.2</v>
      </c>
      <c r="G432" s="115">
        <v>0</v>
      </c>
      <c r="H432" s="115">
        <f t="shared" si="23"/>
        <v>2738.2</v>
      </c>
    </row>
    <row r="433" spans="1:8" ht="21">
      <c r="A433" s="116" t="s">
        <v>66</v>
      </c>
      <c r="B433" s="117"/>
      <c r="C433" s="117"/>
      <c r="D433" s="117"/>
      <c r="E433" s="118"/>
      <c r="F433" s="119">
        <v>349096</v>
      </c>
      <c r="G433" s="120">
        <v>47508</v>
      </c>
      <c r="H433" s="119">
        <f t="shared" si="23"/>
        <v>396604</v>
      </c>
    </row>
    <row r="434" spans="1:8" ht="21">
      <c r="A434" s="112" t="s">
        <v>67</v>
      </c>
      <c r="B434" s="113"/>
      <c r="C434" s="113"/>
      <c r="D434" s="113"/>
      <c r="E434" s="114"/>
      <c r="F434" s="115">
        <f>D434+E434</f>
        <v>0</v>
      </c>
      <c r="G434" s="115">
        <v>0</v>
      </c>
      <c r="H434" s="115">
        <f t="shared" si="23"/>
        <v>0</v>
      </c>
    </row>
    <row r="435" spans="1:8" ht="21">
      <c r="A435" s="116" t="s">
        <v>68</v>
      </c>
      <c r="B435" s="117"/>
      <c r="C435" s="117"/>
      <c r="D435" s="117"/>
      <c r="E435" s="118"/>
      <c r="F435" s="119">
        <v>7445198</v>
      </c>
      <c r="G435" s="120">
        <v>0</v>
      </c>
      <c r="H435" s="119">
        <f t="shared" si="23"/>
        <v>7445198</v>
      </c>
    </row>
    <row r="436" spans="1:8" ht="21.75" thickBot="1">
      <c r="A436" s="121"/>
      <c r="B436" s="121"/>
      <c r="C436" s="121"/>
      <c r="D436" s="121"/>
      <c r="E436" s="121"/>
      <c r="F436" s="122">
        <f>F412+F413+F414+F415+F416+F417+F418+F419+F420+F421+F422+F423+F424+F425+F426+F427+F428+F429+F430+F431+F432+F433+F434+F435</f>
        <v>15455899.240000002</v>
      </c>
      <c r="G436" s="123">
        <f>G412+G413+G414+G415+G416+G417+G418+G419+G420+G421+G422+G423+G424+G425+G426+G427+G428+G429+G430+G431+G432+G433+G434+G435</f>
        <v>1026861.0099999999</v>
      </c>
      <c r="H436" s="124">
        <f>F436+G436</f>
        <v>16482760.250000002</v>
      </c>
    </row>
    <row r="437" ht="13.5" thickTop="1"/>
    <row r="452" spans="1:8" ht="21">
      <c r="A452" s="283" t="s">
        <v>39</v>
      </c>
      <c r="B452" s="283"/>
      <c r="C452" s="283"/>
      <c r="D452" s="283"/>
      <c r="E452" s="283"/>
      <c r="F452" s="283"/>
      <c r="G452" s="283"/>
      <c r="H452" s="283"/>
    </row>
    <row r="453" spans="1:8" ht="18.75">
      <c r="A453" s="284" t="s">
        <v>224</v>
      </c>
      <c r="B453" s="284"/>
      <c r="C453" s="284"/>
      <c r="D453" s="284"/>
      <c r="E453" s="284"/>
      <c r="F453" s="284"/>
      <c r="G453" s="284"/>
      <c r="H453" s="284"/>
    </row>
    <row r="454" spans="1:8" ht="18.75">
      <c r="A454" s="284" t="s">
        <v>241</v>
      </c>
      <c r="B454" s="284"/>
      <c r="C454" s="284"/>
      <c r="D454" s="284"/>
      <c r="E454" s="284"/>
      <c r="F454" s="284"/>
      <c r="G454" s="284"/>
      <c r="H454" s="284"/>
    </row>
    <row r="455" spans="1:8" ht="13.5">
      <c r="A455" s="109"/>
      <c r="B455" s="109"/>
      <c r="C455" s="109"/>
      <c r="D455" s="109"/>
      <c r="E455" s="109"/>
      <c r="F455" s="109"/>
      <c r="G455" s="109"/>
      <c r="H455" s="109"/>
    </row>
    <row r="456" spans="1:8" ht="21">
      <c r="A456" s="285" t="s">
        <v>41</v>
      </c>
      <c r="B456" s="286"/>
      <c r="C456" s="286"/>
      <c r="D456" s="286"/>
      <c r="E456" s="275"/>
      <c r="F456" s="111" t="s">
        <v>42</v>
      </c>
      <c r="G456" s="111" t="s">
        <v>43</v>
      </c>
      <c r="H456" s="111" t="s">
        <v>44</v>
      </c>
    </row>
    <row r="457" spans="1:8" ht="21">
      <c r="A457" s="112" t="s">
        <v>45</v>
      </c>
      <c r="B457" s="113"/>
      <c r="C457" s="113"/>
      <c r="D457" s="113"/>
      <c r="E457" s="114"/>
      <c r="F457" s="115">
        <v>61777.55</v>
      </c>
      <c r="G457" s="115">
        <v>0</v>
      </c>
      <c r="H457" s="115">
        <f aca="true" t="shared" si="24" ref="H457:H463">F457+G457</f>
        <v>61777.55</v>
      </c>
    </row>
    <row r="458" spans="1:8" ht="21">
      <c r="A458" s="116" t="s">
        <v>46</v>
      </c>
      <c r="B458" s="117"/>
      <c r="C458" s="117"/>
      <c r="D458" s="117"/>
      <c r="E458" s="118"/>
      <c r="F458" s="119">
        <v>27928.4</v>
      </c>
      <c r="G458" s="120">
        <v>256.09</v>
      </c>
      <c r="H458" s="119">
        <f t="shared" si="24"/>
        <v>28184.49</v>
      </c>
    </row>
    <row r="459" spans="1:8" ht="21">
      <c r="A459" s="112" t="s">
        <v>47</v>
      </c>
      <c r="B459" s="113"/>
      <c r="C459" s="113"/>
      <c r="D459" s="113"/>
      <c r="E459" s="114"/>
      <c r="F459" s="115">
        <v>1850</v>
      </c>
      <c r="G459" s="115">
        <v>0</v>
      </c>
      <c r="H459" s="115">
        <f t="shared" si="24"/>
        <v>1850</v>
      </c>
    </row>
    <row r="460" spans="1:8" ht="21">
      <c r="A460" s="116" t="s">
        <v>48</v>
      </c>
      <c r="B460" s="117"/>
      <c r="C460" s="117"/>
      <c r="D460" s="117"/>
      <c r="E460" s="118"/>
      <c r="F460" s="119">
        <f>D460+E460</f>
        <v>0</v>
      </c>
      <c r="G460" s="120">
        <v>0</v>
      </c>
      <c r="H460" s="119">
        <f t="shared" si="24"/>
        <v>0</v>
      </c>
    </row>
    <row r="461" spans="1:8" ht="21">
      <c r="A461" s="112" t="s">
        <v>49</v>
      </c>
      <c r="B461" s="113"/>
      <c r="C461" s="113"/>
      <c r="D461" s="113"/>
      <c r="E461" s="114"/>
      <c r="F461" s="115">
        <f>D461+E461</f>
        <v>0</v>
      </c>
      <c r="G461" s="115">
        <v>0</v>
      </c>
      <c r="H461" s="115">
        <f t="shared" si="24"/>
        <v>0</v>
      </c>
    </row>
    <row r="462" spans="1:8" ht="21">
      <c r="A462" s="116" t="s">
        <v>237</v>
      </c>
      <c r="B462" s="117"/>
      <c r="C462" s="117"/>
      <c r="D462" s="117"/>
      <c r="E462" s="118"/>
      <c r="F462" s="119">
        <v>10</v>
      </c>
      <c r="G462" s="120">
        <v>0</v>
      </c>
      <c r="H462" s="119">
        <f t="shared" si="24"/>
        <v>10</v>
      </c>
    </row>
    <row r="463" spans="1:8" ht="21">
      <c r="A463" s="112" t="s">
        <v>51</v>
      </c>
      <c r="B463" s="113"/>
      <c r="C463" s="113"/>
      <c r="D463" s="113"/>
      <c r="E463" s="114"/>
      <c r="F463" s="115">
        <v>720</v>
      </c>
      <c r="G463" s="115">
        <v>0</v>
      </c>
      <c r="H463" s="115">
        <f t="shared" si="24"/>
        <v>720</v>
      </c>
    </row>
    <row r="464" spans="1:8" ht="21">
      <c r="A464" s="116" t="s">
        <v>229</v>
      </c>
      <c r="B464" s="117"/>
      <c r="C464" s="117"/>
      <c r="D464" s="117"/>
      <c r="E464" s="118"/>
      <c r="F464" s="119">
        <v>250</v>
      </c>
      <c r="G464" s="120">
        <v>50</v>
      </c>
      <c r="H464" s="119">
        <v>300</v>
      </c>
    </row>
    <row r="465" spans="1:8" ht="21">
      <c r="A465" s="112" t="s">
        <v>53</v>
      </c>
      <c r="B465" s="113"/>
      <c r="C465" s="113"/>
      <c r="D465" s="113"/>
      <c r="E465" s="114"/>
      <c r="F465" s="115">
        <v>68121</v>
      </c>
      <c r="G465" s="115">
        <v>0</v>
      </c>
      <c r="H465" s="115">
        <f>F465+G465</f>
        <v>68121</v>
      </c>
    </row>
    <row r="466" spans="1:8" ht="21">
      <c r="A466" s="116" t="s">
        <v>54</v>
      </c>
      <c r="B466" s="117"/>
      <c r="C466" s="117"/>
      <c r="D466" s="117"/>
      <c r="E466" s="118"/>
      <c r="F466" s="119">
        <v>1600</v>
      </c>
      <c r="G466" s="120">
        <v>800</v>
      </c>
      <c r="H466" s="119">
        <f>F466+G466</f>
        <v>2400</v>
      </c>
    </row>
    <row r="467" spans="1:8" ht="21">
      <c r="A467" s="112" t="s">
        <v>55</v>
      </c>
      <c r="B467" s="113"/>
      <c r="C467" s="113"/>
      <c r="D467" s="113"/>
      <c r="E467" s="114"/>
      <c r="F467" s="115">
        <v>28732.41</v>
      </c>
      <c r="G467" s="115">
        <v>29890.31</v>
      </c>
      <c r="H467" s="115">
        <f aca="true" t="shared" si="25" ref="H467:H480">F467+G467</f>
        <v>58622.72</v>
      </c>
    </row>
    <row r="468" spans="1:8" ht="21">
      <c r="A468" s="116" t="s">
        <v>56</v>
      </c>
      <c r="B468" s="117"/>
      <c r="C468" s="117"/>
      <c r="D468" s="117"/>
      <c r="E468" s="118"/>
      <c r="F468" s="119">
        <v>42000</v>
      </c>
      <c r="G468" s="120">
        <v>0</v>
      </c>
      <c r="H468" s="119">
        <f t="shared" si="25"/>
        <v>42000</v>
      </c>
    </row>
    <row r="469" spans="1:8" ht="21">
      <c r="A469" s="112" t="s">
        <v>57</v>
      </c>
      <c r="B469" s="113"/>
      <c r="C469" s="113"/>
      <c r="D469" s="113"/>
      <c r="E469" s="114"/>
      <c r="F469" s="115">
        <v>839</v>
      </c>
      <c r="G469" s="115">
        <v>0</v>
      </c>
      <c r="H469" s="115">
        <f t="shared" si="25"/>
        <v>839</v>
      </c>
    </row>
    <row r="470" spans="1:8" ht="21">
      <c r="A470" s="116" t="s">
        <v>58</v>
      </c>
      <c r="B470" s="117"/>
      <c r="C470" s="117"/>
      <c r="D470" s="117"/>
      <c r="E470" s="118"/>
      <c r="F470" s="119">
        <v>4530744.16</v>
      </c>
      <c r="G470" s="120">
        <v>461102.87</v>
      </c>
      <c r="H470" s="119">
        <f t="shared" si="25"/>
        <v>4991847.03</v>
      </c>
    </row>
    <row r="471" spans="1:8" ht="21">
      <c r="A471" s="112" t="s">
        <v>59</v>
      </c>
      <c r="B471" s="113"/>
      <c r="C471" s="113"/>
      <c r="D471" s="113"/>
      <c r="E471" s="114"/>
      <c r="F471" s="115">
        <v>1286759.23</v>
      </c>
      <c r="G471" s="115">
        <v>306301.86</v>
      </c>
      <c r="H471" s="115">
        <f t="shared" si="25"/>
        <v>1593061.0899999999</v>
      </c>
    </row>
    <row r="472" spans="1:8" ht="21">
      <c r="A472" s="116" t="s">
        <v>60</v>
      </c>
      <c r="B472" s="117"/>
      <c r="C472" s="117"/>
      <c r="D472" s="117"/>
      <c r="E472" s="118"/>
      <c r="F472" s="119">
        <v>37577.62</v>
      </c>
      <c r="G472" s="120">
        <v>16219.74</v>
      </c>
      <c r="H472" s="119">
        <f t="shared" si="25"/>
        <v>53797.36</v>
      </c>
    </row>
    <row r="473" spans="1:8" ht="21">
      <c r="A473" s="112" t="s">
        <v>61</v>
      </c>
      <c r="B473" s="113"/>
      <c r="C473" s="113"/>
      <c r="D473" s="113"/>
      <c r="E473" s="114"/>
      <c r="F473" s="115">
        <v>710167.25</v>
      </c>
      <c r="G473" s="115">
        <v>113421.34</v>
      </c>
      <c r="H473" s="115">
        <f t="shared" si="25"/>
        <v>823588.59</v>
      </c>
    </row>
    <row r="474" spans="1:8" ht="21">
      <c r="A474" s="116" t="s">
        <v>62</v>
      </c>
      <c r="B474" s="117"/>
      <c r="C474" s="117"/>
      <c r="D474" s="117"/>
      <c r="E474" s="118"/>
      <c r="F474" s="119">
        <v>1741013.72</v>
      </c>
      <c r="G474" s="120">
        <v>243279.07</v>
      </c>
      <c r="H474" s="119">
        <f t="shared" si="25"/>
        <v>1984292.79</v>
      </c>
    </row>
    <row r="475" spans="1:8" ht="21">
      <c r="A475" s="112" t="s">
        <v>63</v>
      </c>
      <c r="B475" s="113"/>
      <c r="C475" s="113"/>
      <c r="D475" s="113"/>
      <c r="E475" s="114"/>
      <c r="F475" s="115">
        <v>53136.25</v>
      </c>
      <c r="G475" s="115">
        <v>38788.61</v>
      </c>
      <c r="H475" s="115">
        <f t="shared" si="25"/>
        <v>91924.86</v>
      </c>
    </row>
    <row r="476" spans="1:8" ht="21">
      <c r="A476" s="116" t="s">
        <v>64</v>
      </c>
      <c r="B476" s="117"/>
      <c r="C476" s="117"/>
      <c r="D476" s="117"/>
      <c r="E476" s="118"/>
      <c r="F476" s="120">
        <v>44993.46</v>
      </c>
      <c r="G476" s="120">
        <v>17529.05</v>
      </c>
      <c r="H476" s="120">
        <f t="shared" si="25"/>
        <v>62522.509999999995</v>
      </c>
    </row>
    <row r="477" spans="1:8" ht="21">
      <c r="A477" s="112" t="s">
        <v>65</v>
      </c>
      <c r="B477" s="113"/>
      <c r="C477" s="113"/>
      <c r="D477" s="113"/>
      <c r="E477" s="114"/>
      <c r="F477" s="115">
        <v>2738.2</v>
      </c>
      <c r="G477" s="115">
        <v>0</v>
      </c>
      <c r="H477" s="115">
        <f t="shared" si="25"/>
        <v>2738.2</v>
      </c>
    </row>
    <row r="478" spans="1:8" ht="21">
      <c r="A478" s="116" t="s">
        <v>66</v>
      </c>
      <c r="B478" s="117"/>
      <c r="C478" s="117"/>
      <c r="D478" s="117"/>
      <c r="E478" s="118"/>
      <c r="F478" s="119">
        <v>396604</v>
      </c>
      <c r="G478" s="120">
        <v>101341</v>
      </c>
      <c r="H478" s="119">
        <f t="shared" si="25"/>
        <v>497945</v>
      </c>
    </row>
    <row r="479" spans="1:8" ht="21">
      <c r="A479" s="112" t="s">
        <v>67</v>
      </c>
      <c r="B479" s="113"/>
      <c r="C479" s="113"/>
      <c r="D479" s="113"/>
      <c r="E479" s="114"/>
      <c r="F479" s="115">
        <f>D479+E479</f>
        <v>0</v>
      </c>
      <c r="G479" s="115">
        <v>0</v>
      </c>
      <c r="H479" s="115">
        <f t="shared" si="25"/>
        <v>0</v>
      </c>
    </row>
    <row r="480" spans="1:8" ht="21">
      <c r="A480" s="116" t="s">
        <v>68</v>
      </c>
      <c r="B480" s="117"/>
      <c r="C480" s="117"/>
      <c r="D480" s="117"/>
      <c r="E480" s="118"/>
      <c r="F480" s="119">
        <v>7445198</v>
      </c>
      <c r="G480" s="120">
        <v>0</v>
      </c>
      <c r="H480" s="119">
        <f t="shared" si="25"/>
        <v>7445198</v>
      </c>
    </row>
    <row r="481" spans="1:8" ht="21.75" thickBot="1">
      <c r="A481" s="121"/>
      <c r="B481" s="121"/>
      <c r="C481" s="121"/>
      <c r="D481" s="121"/>
      <c r="E481" s="121"/>
      <c r="F481" s="122">
        <f>F457+F458+F459+F460+F461+F462+F463+F464+F465+F466+F467+F468+F469+F470+F471+F472+F473+F474+F475+F476+F477+F478+F479+F480</f>
        <v>16482760.25</v>
      </c>
      <c r="G481" s="123">
        <f>G457+G458+G459+G460+G461+G462+G463+G464+G465+G466+G467+G468+G469+G470+G471+G472+G473+G474+G475+G476+G477+G478+G479+G480</f>
        <v>1328979.9400000002</v>
      </c>
      <c r="H481" s="124">
        <f>F481+G481</f>
        <v>17811740.19</v>
      </c>
    </row>
    <row r="482" ht="13.5" thickTop="1"/>
  </sheetData>
  <sheetProtection/>
  <mergeCells count="48">
    <mergeCell ref="A452:H452"/>
    <mergeCell ref="A453:H453"/>
    <mergeCell ref="A454:H454"/>
    <mergeCell ref="A456:E456"/>
    <mergeCell ref="A407:H407"/>
    <mergeCell ref="A408:H408"/>
    <mergeCell ref="A409:H409"/>
    <mergeCell ref="A411:E411"/>
    <mergeCell ref="A362:H362"/>
    <mergeCell ref="A363:H363"/>
    <mergeCell ref="A364:H364"/>
    <mergeCell ref="A366:E366"/>
    <mergeCell ref="A274:H274"/>
    <mergeCell ref="A275:H275"/>
    <mergeCell ref="A276:H276"/>
    <mergeCell ref="A278:E278"/>
    <mergeCell ref="A1:H1"/>
    <mergeCell ref="A2:H2"/>
    <mergeCell ref="A3:H3"/>
    <mergeCell ref="A5:E5"/>
    <mergeCell ref="A73:H73"/>
    <mergeCell ref="A74:H74"/>
    <mergeCell ref="A36:H36"/>
    <mergeCell ref="A37:H37"/>
    <mergeCell ref="A38:H38"/>
    <mergeCell ref="A40:E40"/>
    <mergeCell ref="A75:H75"/>
    <mergeCell ref="A77:E77"/>
    <mergeCell ref="A153:H153"/>
    <mergeCell ref="A154:H154"/>
    <mergeCell ref="A113:H113"/>
    <mergeCell ref="A114:H114"/>
    <mergeCell ref="A115:H115"/>
    <mergeCell ref="A117:E117"/>
    <mergeCell ref="A155:H155"/>
    <mergeCell ref="A157:E157"/>
    <mergeCell ref="A230:H230"/>
    <mergeCell ref="A231:H231"/>
    <mergeCell ref="A232:H232"/>
    <mergeCell ref="A234:E234"/>
    <mergeCell ref="A188:H188"/>
    <mergeCell ref="A189:H189"/>
    <mergeCell ref="A190:H190"/>
    <mergeCell ref="A192:E192"/>
    <mergeCell ref="A318:H318"/>
    <mergeCell ref="A319:H319"/>
    <mergeCell ref="A320:H320"/>
    <mergeCell ref="A322:E32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15" sqref="J15"/>
    </sheetView>
  </sheetViews>
  <sheetFormatPr defaultColWidth="9.140625" defaultRowHeight="12.75"/>
  <cols>
    <col min="3" max="3" width="12.00390625" style="0" customWidth="1"/>
    <col min="4" max="4" width="13.00390625" style="0" customWidth="1"/>
    <col min="5" max="5" width="12.7109375" style="0" customWidth="1"/>
    <col min="6" max="6" width="13.28125" style="0" customWidth="1"/>
    <col min="7" max="7" width="13.57421875" style="0" customWidth="1"/>
  </cols>
  <sheetData>
    <row r="1" spans="1:7" ht="18.75">
      <c r="A1" s="294" t="s">
        <v>69</v>
      </c>
      <c r="B1" s="294"/>
      <c r="C1" s="294"/>
      <c r="D1" s="294"/>
      <c r="E1" s="294"/>
      <c r="F1" s="294"/>
      <c r="G1" s="294"/>
    </row>
    <row r="2" spans="1:7" ht="18.75">
      <c r="A2" s="295" t="s">
        <v>162</v>
      </c>
      <c r="B2" s="295"/>
      <c r="C2" s="295"/>
      <c r="D2" s="295"/>
      <c r="E2" s="295"/>
      <c r="F2" s="295"/>
      <c r="G2" s="295"/>
    </row>
    <row r="3" spans="1:7" ht="18.75">
      <c r="A3" s="296" t="s">
        <v>41</v>
      </c>
      <c r="B3" s="297"/>
      <c r="C3" s="298"/>
      <c r="D3" s="125" t="s">
        <v>42</v>
      </c>
      <c r="E3" s="126" t="s">
        <v>70</v>
      </c>
      <c r="F3" s="125" t="s">
        <v>71</v>
      </c>
      <c r="G3" s="127" t="s">
        <v>44</v>
      </c>
    </row>
    <row r="4" spans="1:7" ht="18.75">
      <c r="A4" s="299" t="s">
        <v>72</v>
      </c>
      <c r="B4" s="300"/>
      <c r="C4" s="301"/>
      <c r="D4" s="128">
        <v>1515.88</v>
      </c>
      <c r="E4" s="129">
        <v>2081.59</v>
      </c>
      <c r="F4" s="130">
        <v>3597.47</v>
      </c>
      <c r="G4" s="128">
        <f aca="true" t="shared" si="0" ref="G4:G9">D4+E4-F4</f>
        <v>0</v>
      </c>
    </row>
    <row r="5" spans="1:7" ht="18.75">
      <c r="A5" s="131" t="s">
        <v>73</v>
      </c>
      <c r="B5" s="132"/>
      <c r="C5" s="133"/>
      <c r="D5" s="128">
        <v>450320</v>
      </c>
      <c r="E5" s="134">
        <v>107328</v>
      </c>
      <c r="F5" s="135">
        <v>0</v>
      </c>
      <c r="G5" s="128">
        <f t="shared" si="0"/>
        <v>557648</v>
      </c>
    </row>
    <row r="6" spans="1:7" ht="18.75">
      <c r="A6" s="131" t="s">
        <v>74</v>
      </c>
      <c r="B6" s="132"/>
      <c r="C6" s="136"/>
      <c r="D6" s="128">
        <v>1529.26</v>
      </c>
      <c r="E6" s="128">
        <v>14.38</v>
      </c>
      <c r="F6" s="137">
        <v>0</v>
      </c>
      <c r="G6" s="128">
        <f t="shared" si="0"/>
        <v>1543.64</v>
      </c>
    </row>
    <row r="7" spans="1:7" ht="18.75">
      <c r="A7" s="131" t="s">
        <v>75</v>
      </c>
      <c r="B7" s="132"/>
      <c r="C7" s="136"/>
      <c r="D7" s="128">
        <v>1835.09</v>
      </c>
      <c r="E7" s="128">
        <v>17.27</v>
      </c>
      <c r="F7" s="137">
        <v>0</v>
      </c>
      <c r="G7" s="128">
        <f t="shared" si="0"/>
        <v>1852.36</v>
      </c>
    </row>
    <row r="8" spans="1:7" ht="18.75">
      <c r="A8" s="131" t="s">
        <v>76</v>
      </c>
      <c r="B8" s="132"/>
      <c r="C8" s="136"/>
      <c r="D8" s="128">
        <v>20000</v>
      </c>
      <c r="E8" s="128">
        <v>0</v>
      </c>
      <c r="F8" s="137">
        <v>0</v>
      </c>
      <c r="G8" s="128">
        <v>20000</v>
      </c>
    </row>
    <row r="9" spans="1:7" ht="18.75">
      <c r="A9" s="138" t="s">
        <v>77</v>
      </c>
      <c r="B9" s="139"/>
      <c r="C9" s="140"/>
      <c r="D9" s="141">
        <v>199772.55</v>
      </c>
      <c r="E9" s="141">
        <v>7665.2</v>
      </c>
      <c r="F9" s="142">
        <v>0</v>
      </c>
      <c r="G9" s="141">
        <f t="shared" si="0"/>
        <v>207437.75</v>
      </c>
    </row>
    <row r="10" spans="1:7" ht="19.5" thickBot="1">
      <c r="A10" s="132"/>
      <c r="B10" s="132"/>
      <c r="C10" s="137"/>
      <c r="D10" s="143">
        <f>D4+D5+D6+D7+D9+D8</f>
        <v>674972.78</v>
      </c>
      <c r="E10" s="144">
        <f>E4+E5+E6+E7+E9+E8</f>
        <v>117106.44</v>
      </c>
      <c r="F10" s="145">
        <f>F4+F5+F6+F7+F9</f>
        <v>3597.47</v>
      </c>
      <c r="G10" s="146">
        <f>D10+E10-F10</f>
        <v>788481.75</v>
      </c>
    </row>
    <row r="11" spans="1:7" ht="19.5" thickTop="1">
      <c r="A11" s="132"/>
      <c r="B11" s="132"/>
      <c r="C11" s="137"/>
      <c r="D11" s="147"/>
      <c r="E11" s="137"/>
      <c r="F11" s="137"/>
      <c r="G11" s="132"/>
    </row>
    <row r="12" spans="1:7" ht="18.75">
      <c r="A12" s="132"/>
      <c r="B12" s="132"/>
      <c r="C12" s="137"/>
      <c r="D12" s="147"/>
      <c r="E12" s="137"/>
      <c r="F12" s="137"/>
      <c r="G12" s="132"/>
    </row>
    <row r="13" spans="1:7" ht="21">
      <c r="A13" s="148"/>
      <c r="B13" s="148"/>
      <c r="C13" s="149"/>
      <c r="D13" s="149"/>
      <c r="E13" s="149"/>
      <c r="F13" s="149"/>
      <c r="G13" s="150"/>
    </row>
    <row r="14" spans="1:7" ht="25.5" customHeight="1">
      <c r="A14" s="150"/>
      <c r="B14" s="150"/>
      <c r="C14" s="150"/>
      <c r="D14" s="150"/>
      <c r="E14" s="150"/>
      <c r="F14" s="150"/>
      <c r="G14" s="150"/>
    </row>
    <row r="15" spans="1:7" ht="33.75" customHeight="1">
      <c r="A15" s="109"/>
      <c r="B15" s="109"/>
      <c r="C15" s="109"/>
      <c r="D15" s="109"/>
      <c r="E15" s="109"/>
      <c r="F15" s="109"/>
      <c r="G15" s="109"/>
    </row>
    <row r="16" spans="1:7" ht="21">
      <c r="A16" s="292" t="s">
        <v>78</v>
      </c>
      <c r="B16" s="292"/>
      <c r="C16" s="292"/>
      <c r="D16" s="292"/>
      <c r="E16" s="292"/>
      <c r="F16" s="292"/>
      <c r="G16" s="292"/>
    </row>
    <row r="17" spans="1:7" ht="21">
      <c r="A17" s="293" t="s">
        <v>163</v>
      </c>
      <c r="B17" s="293"/>
      <c r="C17" s="293"/>
      <c r="D17" s="293"/>
      <c r="E17" s="293"/>
      <c r="F17" s="293"/>
      <c r="G17" s="293"/>
    </row>
    <row r="18" spans="1:7" ht="21">
      <c r="A18" s="151"/>
      <c r="B18" s="151"/>
      <c r="C18" s="151"/>
      <c r="D18" s="151"/>
      <c r="E18" s="151"/>
      <c r="F18" s="151"/>
      <c r="G18" s="151"/>
    </row>
    <row r="19" spans="1:7" ht="21">
      <c r="A19" s="285" t="s">
        <v>41</v>
      </c>
      <c r="B19" s="286"/>
      <c r="C19" s="275"/>
      <c r="D19" s="111" t="s">
        <v>79</v>
      </c>
      <c r="E19" s="152" t="s">
        <v>80</v>
      </c>
      <c r="F19" s="110" t="s">
        <v>81</v>
      </c>
      <c r="G19" s="111" t="s">
        <v>44</v>
      </c>
    </row>
    <row r="20" spans="1:7" ht="21">
      <c r="A20" s="289" t="s">
        <v>82</v>
      </c>
      <c r="B20" s="290"/>
      <c r="C20" s="291"/>
      <c r="D20" s="115"/>
      <c r="E20" s="115"/>
      <c r="F20" s="153"/>
      <c r="G20" s="154"/>
    </row>
    <row r="21" spans="1:7" ht="21">
      <c r="A21" s="112" t="s">
        <v>83</v>
      </c>
      <c r="B21" s="113"/>
      <c r="C21" s="114"/>
      <c r="D21" s="115">
        <v>545613</v>
      </c>
      <c r="E21" s="115">
        <v>0</v>
      </c>
      <c r="F21" s="153">
        <v>545613</v>
      </c>
      <c r="G21" s="155">
        <f>D21-F21</f>
        <v>0</v>
      </c>
    </row>
    <row r="22" spans="1:7" ht="21">
      <c r="A22" s="156"/>
      <c r="B22" s="157"/>
      <c r="C22" s="158"/>
      <c r="D22" s="115"/>
      <c r="E22" s="115"/>
      <c r="F22" s="153"/>
      <c r="G22" s="154"/>
    </row>
    <row r="23" spans="1:7" ht="21.75" thickBot="1">
      <c r="A23" s="121"/>
      <c r="B23" s="121"/>
      <c r="C23" s="121"/>
      <c r="D23" s="159">
        <f>D21</f>
        <v>545613</v>
      </c>
      <c r="E23" s="159">
        <f>E21</f>
        <v>0</v>
      </c>
      <c r="F23" s="159">
        <f>F21</f>
        <v>545613</v>
      </c>
      <c r="G23" s="159">
        <f>G21</f>
        <v>0</v>
      </c>
    </row>
    <row r="24" spans="1:7" ht="14.25" thickTop="1">
      <c r="A24" s="109"/>
      <c r="B24" s="109"/>
      <c r="C24" s="109"/>
      <c r="D24" s="109"/>
      <c r="E24" s="109"/>
      <c r="F24" s="109"/>
      <c r="G24" s="109"/>
    </row>
    <row r="25" spans="1:7" ht="13.5">
      <c r="A25" s="109"/>
      <c r="B25" s="109"/>
      <c r="C25" s="109"/>
      <c r="D25" s="109"/>
      <c r="E25" s="109"/>
      <c r="F25" s="109"/>
      <c r="G25" s="109"/>
    </row>
    <row r="26" spans="1:7" ht="13.5">
      <c r="A26" s="109"/>
      <c r="B26" s="109"/>
      <c r="C26" s="109"/>
      <c r="D26" s="109"/>
      <c r="E26" s="109"/>
      <c r="F26" s="109"/>
      <c r="G26" s="109"/>
    </row>
    <row r="27" spans="1:7" ht="13.5">
      <c r="A27" s="109"/>
      <c r="B27" s="109"/>
      <c r="C27" s="109"/>
      <c r="D27" s="109"/>
      <c r="E27" s="109"/>
      <c r="F27" s="109"/>
      <c r="G27" s="109"/>
    </row>
    <row r="28" spans="1:7" ht="13.5">
      <c r="A28" s="109"/>
      <c r="B28" s="109"/>
      <c r="C28" s="109"/>
      <c r="D28" s="109"/>
      <c r="E28" s="109"/>
      <c r="F28" s="109"/>
      <c r="G28" s="109"/>
    </row>
    <row r="29" spans="1:7" ht="13.5">
      <c r="A29" s="109"/>
      <c r="B29" s="109"/>
      <c r="C29" s="109"/>
      <c r="D29" s="109"/>
      <c r="E29" s="109"/>
      <c r="F29" s="109"/>
      <c r="G29" s="109"/>
    </row>
    <row r="30" spans="1:7" ht="13.5">
      <c r="A30" s="109"/>
      <c r="B30" s="109"/>
      <c r="C30" s="109"/>
      <c r="D30" s="109"/>
      <c r="E30" s="109"/>
      <c r="F30" s="109"/>
      <c r="G30" s="109"/>
    </row>
    <row r="31" spans="1:7" ht="13.5">
      <c r="A31" s="109"/>
      <c r="B31" s="109"/>
      <c r="C31" s="109"/>
      <c r="D31" s="109"/>
      <c r="E31" s="109"/>
      <c r="F31" s="109"/>
      <c r="G31" s="109"/>
    </row>
    <row r="32" spans="1:7" ht="13.5">
      <c r="A32" s="109"/>
      <c r="B32" s="109"/>
      <c r="C32" s="109"/>
      <c r="D32" s="109"/>
      <c r="E32" s="109"/>
      <c r="F32" s="109"/>
      <c r="G32" s="109"/>
    </row>
    <row r="33" spans="1:7" ht="13.5">
      <c r="A33" s="109"/>
      <c r="B33" s="109"/>
      <c r="C33" s="109"/>
      <c r="D33" s="109"/>
      <c r="E33" s="109"/>
      <c r="F33" s="109"/>
      <c r="G33" s="109"/>
    </row>
    <row r="34" spans="1:7" ht="13.5">
      <c r="A34" s="109"/>
      <c r="B34" s="109"/>
      <c r="C34" s="109"/>
      <c r="D34" s="109"/>
      <c r="E34" s="109"/>
      <c r="F34" s="109"/>
      <c r="G34" s="109"/>
    </row>
    <row r="35" spans="1:7" ht="13.5">
      <c r="A35" s="109"/>
      <c r="B35" s="109"/>
      <c r="C35" s="109"/>
      <c r="D35" s="109"/>
      <c r="E35" s="109"/>
      <c r="F35" s="109"/>
      <c r="G35" s="109"/>
    </row>
    <row r="36" spans="1:7" ht="13.5">
      <c r="A36" s="109"/>
      <c r="B36" s="109"/>
      <c r="C36" s="109"/>
      <c r="D36" s="109"/>
      <c r="E36" s="109"/>
      <c r="F36" s="109"/>
      <c r="G36" s="109"/>
    </row>
    <row r="37" spans="1:7" ht="13.5">
      <c r="A37" s="109"/>
      <c r="B37" s="109"/>
      <c r="C37" s="109"/>
      <c r="D37" s="109"/>
      <c r="E37" s="109"/>
      <c r="F37" s="109"/>
      <c r="G37" s="109"/>
    </row>
  </sheetData>
  <sheetProtection/>
  <mergeCells count="8">
    <mergeCell ref="A1:G1"/>
    <mergeCell ref="A2:G2"/>
    <mergeCell ref="A3:C3"/>
    <mergeCell ref="A4:C4"/>
    <mergeCell ref="A20:C20"/>
    <mergeCell ref="A16:G16"/>
    <mergeCell ref="A17:G17"/>
    <mergeCell ref="A19:C19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6">
      <selection activeCell="K32" sqref="K32"/>
    </sheetView>
  </sheetViews>
  <sheetFormatPr defaultColWidth="9.140625" defaultRowHeight="12.75"/>
  <cols>
    <col min="5" max="5" width="5.421875" style="0" customWidth="1"/>
    <col min="6" max="6" width="12.8515625" style="0" customWidth="1"/>
    <col min="7" max="7" width="12.57421875" style="0" customWidth="1"/>
    <col min="8" max="8" width="13.28125" style="0" customWidth="1"/>
    <col min="9" max="9" width="12.421875" style="0" customWidth="1"/>
    <col min="11" max="11" width="11.28125" style="0" bestFit="1" customWidth="1"/>
    <col min="12" max="13" width="12.8515625" style="0" bestFit="1" customWidth="1"/>
  </cols>
  <sheetData>
    <row r="1" spans="1:9" ht="21">
      <c r="A1" s="283" t="s">
        <v>84</v>
      </c>
      <c r="B1" s="283"/>
      <c r="C1" s="283"/>
      <c r="D1" s="283"/>
      <c r="E1" s="283"/>
      <c r="F1" s="283"/>
      <c r="G1" s="283"/>
      <c r="H1" s="283"/>
      <c r="I1" s="283"/>
    </row>
    <row r="2" spans="1:9" ht="21">
      <c r="A2" s="314" t="s">
        <v>164</v>
      </c>
      <c r="B2" s="314"/>
      <c r="C2" s="314"/>
      <c r="D2" s="314"/>
      <c r="E2" s="314"/>
      <c r="F2" s="314"/>
      <c r="G2" s="314"/>
      <c r="H2" s="314"/>
      <c r="I2" s="314"/>
    </row>
    <row r="3" spans="1:9" ht="18.75">
      <c r="A3" s="303" t="s">
        <v>41</v>
      </c>
      <c r="B3" s="304"/>
      <c r="C3" s="304"/>
      <c r="D3" s="304"/>
      <c r="E3" s="305"/>
      <c r="F3" s="161" t="s">
        <v>166</v>
      </c>
      <c r="G3" s="161" t="s">
        <v>80</v>
      </c>
      <c r="H3" s="161" t="s">
        <v>81</v>
      </c>
      <c r="I3" s="161" t="s">
        <v>44</v>
      </c>
    </row>
    <row r="4" spans="1:9" ht="18.75">
      <c r="A4" s="306" t="s">
        <v>24</v>
      </c>
      <c r="B4" s="307"/>
      <c r="C4" s="307"/>
      <c r="D4" s="307"/>
      <c r="E4" s="307"/>
      <c r="F4" s="132"/>
      <c r="G4" s="132"/>
      <c r="H4" s="132"/>
      <c r="I4" s="162"/>
    </row>
    <row r="5" spans="1:11" ht="18.75">
      <c r="A5" s="163" t="s">
        <v>167</v>
      </c>
      <c r="B5" s="164"/>
      <c r="C5" s="164"/>
      <c r="D5" s="164"/>
      <c r="E5" s="162"/>
      <c r="F5" s="165">
        <v>4700</v>
      </c>
      <c r="G5" s="165">
        <v>0</v>
      </c>
      <c r="H5" s="165">
        <v>4700</v>
      </c>
      <c r="I5" s="165">
        <f>F5-H5</f>
        <v>0</v>
      </c>
      <c r="K5" s="220">
        <v>4700</v>
      </c>
    </row>
    <row r="6" spans="1:12" ht="18.75">
      <c r="A6" s="163" t="s">
        <v>168</v>
      </c>
      <c r="B6" s="164"/>
      <c r="C6" s="164"/>
      <c r="D6" s="164"/>
      <c r="E6" s="162"/>
      <c r="F6" s="165">
        <v>24018.69</v>
      </c>
      <c r="G6" s="165">
        <v>0</v>
      </c>
      <c r="H6" s="165">
        <v>24018.69</v>
      </c>
      <c r="I6" s="165">
        <f>F6-H6</f>
        <v>0</v>
      </c>
      <c r="K6" s="220">
        <v>567464.8</v>
      </c>
      <c r="L6" t="s">
        <v>226</v>
      </c>
    </row>
    <row r="7" spans="1:13" ht="18.75">
      <c r="A7" s="163" t="s">
        <v>169</v>
      </c>
      <c r="B7" s="164"/>
      <c r="C7" s="164"/>
      <c r="D7" s="164"/>
      <c r="E7" s="162"/>
      <c r="F7" s="165">
        <v>60000</v>
      </c>
      <c r="G7" s="165">
        <v>0</v>
      </c>
      <c r="H7" s="165">
        <v>60000</v>
      </c>
      <c r="I7" s="165">
        <f>F7-H7</f>
        <v>0</v>
      </c>
      <c r="K7" s="220">
        <v>16600</v>
      </c>
      <c r="M7" s="83">
        <f>K5+K6+K7+K8+K9</f>
        <v>699704.8</v>
      </c>
    </row>
    <row r="8" spans="1:11" ht="18.75">
      <c r="A8" s="163" t="s">
        <v>170</v>
      </c>
      <c r="B8" s="164"/>
      <c r="C8" s="164"/>
      <c r="D8" s="164"/>
      <c r="E8" s="162"/>
      <c r="F8" s="165">
        <v>50940</v>
      </c>
      <c r="G8" s="165">
        <v>0</v>
      </c>
      <c r="H8" s="165">
        <v>50940</v>
      </c>
      <c r="I8" s="165">
        <f>F8-H8</f>
        <v>0</v>
      </c>
      <c r="K8" s="147">
        <v>60000</v>
      </c>
    </row>
    <row r="9" spans="1:11" ht="18.75">
      <c r="A9" s="163" t="s">
        <v>171</v>
      </c>
      <c r="B9" s="164"/>
      <c r="C9" s="164"/>
      <c r="D9" s="164"/>
      <c r="E9" s="162"/>
      <c r="F9" s="165">
        <v>16660</v>
      </c>
      <c r="G9" s="165">
        <v>0</v>
      </c>
      <c r="H9" s="165">
        <v>16600</v>
      </c>
      <c r="I9" s="165">
        <f>F9-H9</f>
        <v>60</v>
      </c>
      <c r="K9" s="147">
        <v>50940</v>
      </c>
    </row>
    <row r="10" spans="1:9" ht="18.75">
      <c r="A10" s="306" t="s">
        <v>25</v>
      </c>
      <c r="B10" s="307"/>
      <c r="C10" s="307"/>
      <c r="D10" s="307"/>
      <c r="E10" s="307"/>
      <c r="F10" s="137"/>
      <c r="G10" s="137"/>
      <c r="H10" s="137"/>
      <c r="I10" s="166"/>
    </row>
    <row r="11" spans="1:9" ht="18.75">
      <c r="A11" s="163" t="s">
        <v>85</v>
      </c>
      <c r="B11" s="164"/>
      <c r="C11" s="164"/>
      <c r="D11" s="164"/>
      <c r="E11" s="162"/>
      <c r="F11" s="165">
        <v>567464.8</v>
      </c>
      <c r="G11" s="165">
        <v>0</v>
      </c>
      <c r="H11" s="165">
        <v>567464.8</v>
      </c>
      <c r="I11" s="165">
        <f>F11-H11</f>
        <v>0</v>
      </c>
    </row>
    <row r="12" spans="1:9" ht="18.75">
      <c r="A12" s="306" t="s">
        <v>172</v>
      </c>
      <c r="B12" s="307"/>
      <c r="C12" s="307"/>
      <c r="D12" s="307"/>
      <c r="E12" s="307"/>
      <c r="F12" s="167"/>
      <c r="G12" s="168"/>
      <c r="H12" s="167"/>
      <c r="I12" s="169"/>
    </row>
    <row r="13" spans="1:12" ht="18.75">
      <c r="A13" s="308" t="s">
        <v>173</v>
      </c>
      <c r="B13" s="309"/>
      <c r="C13" s="309"/>
      <c r="D13" s="309"/>
      <c r="E13" s="310"/>
      <c r="F13" s="167">
        <v>1237000</v>
      </c>
      <c r="G13" s="168">
        <v>0</v>
      </c>
      <c r="H13" s="167">
        <v>1077960.38</v>
      </c>
      <c r="I13" s="169">
        <f>F13-H13</f>
        <v>159039.6200000001</v>
      </c>
      <c r="L13" s="83">
        <f>H18+I18</f>
        <v>2991783.49</v>
      </c>
    </row>
    <row r="14" spans="1:9" ht="18.75">
      <c r="A14" s="308" t="s">
        <v>174</v>
      </c>
      <c r="B14" s="309"/>
      <c r="C14" s="309"/>
      <c r="D14" s="309"/>
      <c r="E14" s="310"/>
      <c r="F14" s="167">
        <v>351000</v>
      </c>
      <c r="G14" s="168">
        <v>0</v>
      </c>
      <c r="H14" s="167">
        <v>351000</v>
      </c>
      <c r="I14" s="169">
        <f>F14-H14</f>
        <v>0</v>
      </c>
    </row>
    <row r="15" spans="1:13" ht="18.75">
      <c r="A15" s="311" t="s">
        <v>175</v>
      </c>
      <c r="B15" s="312"/>
      <c r="C15" s="312"/>
      <c r="D15" s="312"/>
      <c r="E15" s="313"/>
      <c r="F15" s="167">
        <v>450000</v>
      </c>
      <c r="G15" s="168">
        <v>0</v>
      </c>
      <c r="H15" s="167">
        <v>450000</v>
      </c>
      <c r="I15" s="169">
        <v>0</v>
      </c>
      <c r="M15" s="83">
        <f>I18+H18</f>
        <v>2991783.49</v>
      </c>
    </row>
    <row r="16" spans="1:9" ht="18.75">
      <c r="A16" s="306" t="s">
        <v>176</v>
      </c>
      <c r="B16" s="307"/>
      <c r="C16" s="307"/>
      <c r="D16" s="307"/>
      <c r="E16" s="307"/>
      <c r="F16" s="165"/>
      <c r="G16" s="170"/>
      <c r="H16" s="165"/>
      <c r="I16" s="166"/>
    </row>
    <row r="17" spans="1:9" ht="18.75">
      <c r="A17" s="163" t="s">
        <v>177</v>
      </c>
      <c r="B17" s="164"/>
      <c r="C17" s="164"/>
      <c r="D17" s="164"/>
      <c r="E17" s="164"/>
      <c r="F17" s="165">
        <v>230000</v>
      </c>
      <c r="G17" s="166">
        <v>0</v>
      </c>
      <c r="H17" s="128">
        <v>230000</v>
      </c>
      <c r="I17" s="136">
        <v>0</v>
      </c>
    </row>
    <row r="18" spans="1:9" ht="19.5" thickBot="1">
      <c r="A18" s="171"/>
      <c r="B18" s="171"/>
      <c r="C18" s="171"/>
      <c r="D18" s="171"/>
      <c r="E18" s="171"/>
      <c r="F18" s="172">
        <f>F5+F6+F7+F8+F9+F11+F13+F14+F15+F17</f>
        <v>2991783.49</v>
      </c>
      <c r="G18" s="173">
        <v>0</v>
      </c>
      <c r="H18" s="174">
        <f>H5+H6+H7+H8+H9+H11+H14+H17+H15+H13</f>
        <v>2832683.87</v>
      </c>
      <c r="I18" s="175">
        <f>I5+I6+I7+I8+I9+I11+I13+I14+I15+I17</f>
        <v>159099.6200000001</v>
      </c>
    </row>
    <row r="19" spans="1:9" ht="6.75" customHeight="1" thickTop="1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ht="18.75">
      <c r="A20" s="284" t="s">
        <v>178</v>
      </c>
      <c r="B20" s="284"/>
      <c r="C20" s="284"/>
      <c r="D20" s="284"/>
      <c r="E20" s="284"/>
      <c r="F20" s="284"/>
      <c r="G20" s="284"/>
      <c r="H20" s="284"/>
      <c r="I20" s="284"/>
    </row>
    <row r="21" spans="1:9" ht="18.75">
      <c r="A21" s="284" t="s">
        <v>165</v>
      </c>
      <c r="B21" s="284"/>
      <c r="C21" s="284"/>
      <c r="D21" s="284"/>
      <c r="E21" s="284"/>
      <c r="F21" s="284"/>
      <c r="G21" s="284"/>
      <c r="H21" s="284"/>
      <c r="I21" s="284"/>
    </row>
    <row r="22" spans="1:9" ht="18.75">
      <c r="A22" s="303" t="s">
        <v>41</v>
      </c>
      <c r="B22" s="304"/>
      <c r="C22" s="304"/>
      <c r="D22" s="304"/>
      <c r="E22" s="305"/>
      <c r="F22" s="161" t="s">
        <v>166</v>
      </c>
      <c r="G22" s="161" t="s">
        <v>80</v>
      </c>
      <c r="H22" s="161" t="s">
        <v>81</v>
      </c>
      <c r="I22" s="161" t="s">
        <v>44</v>
      </c>
    </row>
    <row r="23" spans="1:9" ht="18.75">
      <c r="A23" s="163" t="s">
        <v>179</v>
      </c>
      <c r="B23" s="164"/>
      <c r="C23" s="164"/>
      <c r="D23" s="164"/>
      <c r="E23" s="162"/>
      <c r="F23" s="165">
        <v>204500</v>
      </c>
      <c r="G23" s="165">
        <v>0</v>
      </c>
      <c r="H23" s="165">
        <v>0</v>
      </c>
      <c r="I23" s="165">
        <f>F23-H23</f>
        <v>204500</v>
      </c>
    </row>
    <row r="24" spans="1:9" ht="18.75">
      <c r="A24" s="163"/>
      <c r="B24" s="164"/>
      <c r="C24" s="164"/>
      <c r="D24" s="164"/>
      <c r="E24" s="162"/>
      <c r="F24" s="165"/>
      <c r="G24" s="165"/>
      <c r="H24" s="165"/>
      <c r="I24" s="165"/>
    </row>
    <row r="25" spans="1:9" ht="19.5" thickBot="1">
      <c r="A25" s="171"/>
      <c r="B25" s="171"/>
      <c r="C25" s="171"/>
      <c r="D25" s="171"/>
      <c r="E25" s="171"/>
      <c r="F25" s="174">
        <f>F23+F24</f>
        <v>204500</v>
      </c>
      <c r="G25" s="173">
        <f>G23+G24</f>
        <v>0</v>
      </c>
      <c r="H25" s="174">
        <f>H23+H24</f>
        <v>0</v>
      </c>
      <c r="I25" s="175">
        <f>I23+I24</f>
        <v>204500</v>
      </c>
    </row>
    <row r="26" spans="1:9" ht="18" customHeight="1" thickTop="1">
      <c r="A26" s="132"/>
      <c r="B26" s="132"/>
      <c r="C26" s="132"/>
      <c r="D26" s="132"/>
      <c r="E26" s="132"/>
      <c r="F26" s="171"/>
      <c r="G26" s="171"/>
      <c r="H26" s="171"/>
      <c r="I26" s="171"/>
    </row>
    <row r="27" spans="1:9" ht="24.75" customHeight="1">
      <c r="A27" s="302" t="s">
        <v>180</v>
      </c>
      <c r="B27" s="302"/>
      <c r="C27" s="302"/>
      <c r="D27" s="302"/>
      <c r="E27" s="302"/>
      <c r="F27" s="302"/>
      <c r="G27" s="302"/>
      <c r="H27" s="302"/>
      <c r="I27" s="302"/>
    </row>
    <row r="28" spans="1:9" ht="20.25" customHeight="1">
      <c r="A28" s="284" t="s">
        <v>181</v>
      </c>
      <c r="B28" s="284"/>
      <c r="C28" s="284"/>
      <c r="D28" s="284"/>
      <c r="E28" s="284"/>
      <c r="F28" s="284"/>
      <c r="G28" s="284"/>
      <c r="H28" s="284"/>
      <c r="I28" s="284"/>
    </row>
    <row r="29" spans="1:9" ht="22.5" customHeight="1">
      <c r="A29" s="303" t="s">
        <v>41</v>
      </c>
      <c r="B29" s="304"/>
      <c r="C29" s="304"/>
      <c r="D29" s="304"/>
      <c r="E29" s="305"/>
      <c r="F29" s="161" t="s">
        <v>166</v>
      </c>
      <c r="G29" s="160" t="s">
        <v>80</v>
      </c>
      <c r="H29" s="161" t="s">
        <v>81</v>
      </c>
      <c r="I29" s="161" t="s">
        <v>44</v>
      </c>
    </row>
    <row r="30" spans="1:9" ht="21" customHeight="1">
      <c r="A30" s="163" t="s">
        <v>182</v>
      </c>
      <c r="B30" s="164"/>
      <c r="C30" s="164"/>
      <c r="D30" s="164"/>
      <c r="E30" s="162"/>
      <c r="F30" s="165">
        <v>820</v>
      </c>
      <c r="G30" s="170">
        <v>0</v>
      </c>
      <c r="H30" s="165">
        <v>820</v>
      </c>
      <c r="I30" s="165">
        <f>F30-H30</f>
        <v>0</v>
      </c>
    </row>
    <row r="31" spans="1:9" ht="26.25" customHeight="1">
      <c r="A31" s="163" t="s">
        <v>183</v>
      </c>
      <c r="B31" s="164"/>
      <c r="C31" s="164"/>
      <c r="D31" s="164"/>
      <c r="E31" s="162"/>
      <c r="F31" s="165">
        <v>306600</v>
      </c>
      <c r="G31" s="170">
        <v>0</v>
      </c>
      <c r="H31" s="165">
        <v>306600</v>
      </c>
      <c r="I31" s="165">
        <f>F31-H31</f>
        <v>0</v>
      </c>
    </row>
    <row r="32" spans="1:9" ht="24.75" customHeight="1">
      <c r="A32" s="163" t="s">
        <v>184</v>
      </c>
      <c r="B32" s="164"/>
      <c r="C32" s="164"/>
      <c r="D32" s="164"/>
      <c r="E32" s="162"/>
      <c r="F32" s="165">
        <v>122700</v>
      </c>
      <c r="G32" s="170">
        <v>0</v>
      </c>
      <c r="H32" s="165">
        <v>122700</v>
      </c>
      <c r="I32" s="165">
        <v>0</v>
      </c>
    </row>
    <row r="33" spans="1:9" ht="27" customHeight="1">
      <c r="A33" s="131" t="s">
        <v>185</v>
      </c>
      <c r="B33" s="132"/>
      <c r="C33" s="132"/>
      <c r="D33" s="132"/>
      <c r="E33" s="176"/>
      <c r="F33" s="128">
        <v>10000</v>
      </c>
      <c r="G33" s="177">
        <v>10000</v>
      </c>
      <c r="H33" s="128">
        <v>10000</v>
      </c>
      <c r="I33" s="128">
        <v>0</v>
      </c>
    </row>
    <row r="34" spans="1:9" ht="23.25" customHeight="1" thickBot="1">
      <c r="A34" s="163"/>
      <c r="B34" s="164"/>
      <c r="C34" s="164"/>
      <c r="D34" s="164"/>
      <c r="E34" s="162"/>
      <c r="F34" s="178">
        <f>SUM(F30:F33)</f>
        <v>440120</v>
      </c>
      <c r="G34" s="179">
        <f>SUM(G30:G33)</f>
        <v>10000</v>
      </c>
      <c r="H34" s="179">
        <f>SUM(H30:H33)</f>
        <v>440120</v>
      </c>
      <c r="I34" s="179">
        <f>SUM(I30:I33)</f>
        <v>0</v>
      </c>
    </row>
    <row r="35" spans="1:9" ht="19.5" thickTop="1">
      <c r="A35" s="171"/>
      <c r="B35" s="171"/>
      <c r="C35" s="171"/>
      <c r="D35" s="171"/>
      <c r="E35" s="171"/>
      <c r="F35" s="171"/>
      <c r="G35" s="171"/>
      <c r="H35" s="171"/>
      <c r="I35" s="171"/>
    </row>
    <row r="36" spans="1:9" ht="18.75">
      <c r="A36" s="171"/>
      <c r="B36" s="171"/>
      <c r="C36" s="171"/>
      <c r="D36" s="171"/>
      <c r="E36" s="171"/>
      <c r="F36" s="171"/>
      <c r="G36" s="171"/>
      <c r="H36" s="171"/>
      <c r="I36" s="171"/>
    </row>
    <row r="37" spans="1:9" ht="18.75">
      <c r="A37" s="171"/>
      <c r="B37" s="171"/>
      <c r="C37" s="171"/>
      <c r="D37" s="171"/>
      <c r="E37" s="171"/>
      <c r="F37" s="171"/>
      <c r="G37" s="171"/>
      <c r="H37" s="171"/>
      <c r="I37" s="171"/>
    </row>
    <row r="38" spans="1:9" ht="13.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ht="13.5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9" ht="13.5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ht="13.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9" ht="13.5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ht="13.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ht="13.5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9" ht="13.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3.5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9" ht="13.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ht="13.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ht="13.5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ht="13.5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ht="13.5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ht="13.5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ht="13.5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13.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ht="13.5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ht="13.5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9" ht="13.5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ht="13.5">
      <c r="A58" s="109"/>
      <c r="B58" s="109"/>
      <c r="C58" s="109"/>
      <c r="D58" s="109"/>
      <c r="E58" s="109"/>
      <c r="F58" s="109"/>
      <c r="G58" s="109"/>
      <c r="H58" s="109"/>
      <c r="I58" s="109"/>
    </row>
    <row r="59" spans="1:9" ht="13.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ht="13.5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ht="13.5">
      <c r="A61" s="109"/>
      <c r="B61" s="109"/>
      <c r="C61" s="109"/>
      <c r="D61" s="109"/>
      <c r="E61" s="109"/>
      <c r="F61" s="109"/>
      <c r="G61" s="109"/>
      <c r="H61" s="109"/>
      <c r="I61" s="109"/>
    </row>
    <row r="62" spans="1:9" ht="13.5">
      <c r="A62" s="109"/>
      <c r="B62" s="109"/>
      <c r="C62" s="109"/>
      <c r="D62" s="109"/>
      <c r="E62" s="109"/>
      <c r="F62" s="109"/>
      <c r="G62" s="109"/>
      <c r="H62" s="109"/>
      <c r="I62" s="109"/>
    </row>
    <row r="63" spans="1:9" ht="13.5">
      <c r="A63" s="109"/>
      <c r="B63" s="109"/>
      <c r="C63" s="109"/>
      <c r="D63" s="109"/>
      <c r="E63" s="109"/>
      <c r="F63" s="109"/>
      <c r="G63" s="109"/>
      <c r="H63" s="109"/>
      <c r="I63" s="109"/>
    </row>
    <row r="64" spans="1:9" ht="13.5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ht="13.5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ht="13.5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ht="13.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ht="13.5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ht="13.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ht="13.5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ht="13.5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ht="13.5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ht="13.5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ht="13.5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ht="13.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ht="13.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ht="13.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ht="13.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ht="13.5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ht="13.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3.5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ht="13.5">
      <c r="A82" s="109"/>
      <c r="B82" s="109"/>
      <c r="C82" s="109"/>
      <c r="D82" s="109"/>
      <c r="E82" s="109"/>
      <c r="F82" s="109"/>
      <c r="G82" s="109"/>
      <c r="H82" s="109"/>
      <c r="I82" s="109"/>
    </row>
    <row r="83" spans="1:9" ht="13.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ht="13.5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ht="13.5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ht="13.5">
      <c r="A86" s="109"/>
      <c r="B86" s="109"/>
      <c r="C86" s="109"/>
      <c r="D86" s="109"/>
      <c r="E86" s="109"/>
      <c r="F86" s="109"/>
      <c r="G86" s="109"/>
      <c r="H86" s="109"/>
      <c r="I86" s="109"/>
    </row>
    <row r="87" spans="1:9" ht="13.5">
      <c r="A87" s="109"/>
      <c r="B87" s="109"/>
      <c r="C87" s="109"/>
      <c r="D87" s="109"/>
      <c r="E87" s="109"/>
      <c r="F87" s="109"/>
      <c r="G87" s="109"/>
      <c r="H87" s="109"/>
      <c r="I87" s="109"/>
    </row>
    <row r="88" spans="1:9" ht="13.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ht="13.5">
      <c r="A89" s="109"/>
      <c r="B89" s="109"/>
      <c r="C89" s="109"/>
      <c r="D89" s="109"/>
      <c r="E89" s="109"/>
      <c r="F89" s="109"/>
      <c r="G89" s="109"/>
      <c r="H89" s="109"/>
      <c r="I89" s="109"/>
    </row>
    <row r="90" spans="1:9" ht="13.5">
      <c r="A90" s="109"/>
      <c r="B90" s="109"/>
      <c r="C90" s="109"/>
      <c r="D90" s="109"/>
      <c r="E90" s="109"/>
      <c r="F90" s="109"/>
      <c r="G90" s="109"/>
      <c r="H90" s="109"/>
      <c r="I90" s="109"/>
    </row>
    <row r="91" spans="1:9" ht="13.5">
      <c r="A91" s="109"/>
      <c r="B91" s="109"/>
      <c r="C91" s="109"/>
      <c r="D91" s="109"/>
      <c r="E91" s="109"/>
      <c r="F91" s="109"/>
      <c r="G91" s="109"/>
      <c r="H91" s="109"/>
      <c r="I91" s="109"/>
    </row>
    <row r="92" spans="1:9" ht="13.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ht="13.5">
      <c r="A93" s="109"/>
      <c r="B93" s="109"/>
      <c r="C93" s="109"/>
      <c r="D93" s="109"/>
      <c r="E93" s="109"/>
      <c r="F93" s="109"/>
      <c r="G93" s="109"/>
      <c r="H93" s="109"/>
      <c r="I93" s="109"/>
    </row>
    <row r="94" spans="1:9" ht="13.5">
      <c r="A94" s="109"/>
      <c r="B94" s="109"/>
      <c r="C94" s="109"/>
      <c r="D94" s="109"/>
      <c r="E94" s="109"/>
      <c r="F94" s="109"/>
      <c r="G94" s="109"/>
      <c r="H94" s="109"/>
      <c r="I94" s="109"/>
    </row>
    <row r="95" spans="1:9" ht="13.5">
      <c r="A95" s="109"/>
      <c r="B95" s="109"/>
      <c r="C95" s="109"/>
      <c r="D95" s="109"/>
      <c r="E95" s="109"/>
      <c r="F95" s="109"/>
      <c r="G95" s="109"/>
      <c r="H95" s="109"/>
      <c r="I95" s="109"/>
    </row>
    <row r="96" spans="1:9" ht="13.5">
      <c r="A96" s="109"/>
      <c r="B96" s="109"/>
      <c r="C96" s="109"/>
      <c r="D96" s="109"/>
      <c r="E96" s="109"/>
      <c r="F96" s="109"/>
      <c r="G96" s="109"/>
      <c r="H96" s="109"/>
      <c r="I96" s="109"/>
    </row>
    <row r="97" spans="1:9" ht="13.5">
      <c r="A97" s="109"/>
      <c r="B97" s="109"/>
      <c r="C97" s="109"/>
      <c r="D97" s="109"/>
      <c r="E97" s="109"/>
      <c r="F97" s="109"/>
      <c r="G97" s="109"/>
      <c r="H97" s="109"/>
      <c r="I97" s="109"/>
    </row>
    <row r="98" spans="1:9" ht="13.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ht="13.5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ht="13.5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1" spans="1:9" ht="13.5">
      <c r="A101" s="109"/>
      <c r="B101" s="109"/>
      <c r="C101" s="109"/>
      <c r="D101" s="109"/>
      <c r="E101" s="109"/>
      <c r="F101" s="109"/>
      <c r="G101" s="109"/>
      <c r="H101" s="109"/>
      <c r="I101" s="109"/>
    </row>
    <row r="102" spans="1:9" ht="13.5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3" spans="1:9" ht="13.5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4" spans="1:9" ht="13.5">
      <c r="A104" s="109"/>
      <c r="B104" s="109"/>
      <c r="C104" s="109"/>
      <c r="D104" s="109"/>
      <c r="E104" s="109"/>
      <c r="F104" s="109"/>
      <c r="G104" s="109"/>
      <c r="H104" s="109"/>
      <c r="I104" s="109"/>
    </row>
    <row r="105" spans="1:9" ht="13.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ht="13.5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ht="13.5">
      <c r="A107" s="109"/>
      <c r="B107" s="109"/>
      <c r="C107" s="109"/>
      <c r="D107" s="109"/>
      <c r="E107" s="109"/>
      <c r="F107" s="109"/>
      <c r="G107" s="109"/>
      <c r="H107" s="109"/>
      <c r="I107" s="109"/>
    </row>
    <row r="108" spans="1:9" ht="13.5">
      <c r="A108" s="109"/>
      <c r="B108" s="109"/>
      <c r="C108" s="109"/>
      <c r="D108" s="109"/>
      <c r="E108" s="109"/>
      <c r="F108" s="109"/>
      <c r="G108" s="109"/>
      <c r="H108" s="109"/>
      <c r="I108" s="109"/>
    </row>
    <row r="109" spans="1:9" ht="13.5">
      <c r="A109" s="109"/>
      <c r="B109" s="109"/>
      <c r="C109" s="109"/>
      <c r="D109" s="109"/>
      <c r="E109" s="109"/>
      <c r="F109" s="109"/>
      <c r="G109" s="109"/>
      <c r="H109" s="109"/>
      <c r="I109" s="109"/>
    </row>
    <row r="110" spans="1:9" ht="13.5">
      <c r="A110" s="109"/>
      <c r="B110" s="109"/>
      <c r="C110" s="109"/>
      <c r="D110" s="109"/>
      <c r="E110" s="109"/>
      <c r="F110" s="109"/>
      <c r="G110" s="109"/>
      <c r="H110" s="109"/>
      <c r="I110" s="109"/>
    </row>
    <row r="111" spans="1:9" ht="13.5">
      <c r="A111" s="109"/>
      <c r="B111" s="109"/>
      <c r="C111" s="109"/>
      <c r="D111" s="109"/>
      <c r="E111" s="109"/>
      <c r="F111" s="109"/>
      <c r="G111" s="109"/>
      <c r="H111" s="109"/>
      <c r="I111" s="109"/>
    </row>
    <row r="112" spans="1:9" ht="13.5">
      <c r="A112" s="109"/>
      <c r="B112" s="109"/>
      <c r="C112" s="109"/>
      <c r="D112" s="109"/>
      <c r="E112" s="109"/>
      <c r="F112" s="109"/>
      <c r="G112" s="109"/>
      <c r="H112" s="109"/>
      <c r="I112" s="109"/>
    </row>
  </sheetData>
  <sheetProtection/>
  <mergeCells count="16">
    <mergeCell ref="A14:E14"/>
    <mergeCell ref="A15:E15"/>
    <mergeCell ref="A1:I1"/>
    <mergeCell ref="A2:I2"/>
    <mergeCell ref="A3:E3"/>
    <mergeCell ref="A4:E4"/>
    <mergeCell ref="A27:I27"/>
    <mergeCell ref="A28:I28"/>
    <mergeCell ref="A29:E29"/>
    <mergeCell ref="A10:E10"/>
    <mergeCell ref="A20:I20"/>
    <mergeCell ref="A21:I21"/>
    <mergeCell ref="A22:E22"/>
    <mergeCell ref="A12:E12"/>
    <mergeCell ref="A16:E16"/>
    <mergeCell ref="A13:E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J20" sqref="J20"/>
    </sheetView>
  </sheetViews>
  <sheetFormatPr defaultColWidth="9.140625" defaultRowHeight="12.75"/>
  <cols>
    <col min="5" max="5" width="0.42578125" style="0" customWidth="1"/>
    <col min="6" max="6" width="12.28125" style="0" customWidth="1"/>
    <col min="7" max="7" width="12.8515625" style="0" customWidth="1"/>
    <col min="8" max="8" width="12.421875" style="0" customWidth="1"/>
    <col min="9" max="9" width="12.8515625" style="0" customWidth="1"/>
    <col min="10" max="10" width="13.00390625" style="0" customWidth="1"/>
    <col min="12" max="15" width="12.8515625" style="0" bestFit="1" customWidth="1"/>
    <col min="16" max="16" width="11.28125" style="0" bestFit="1" customWidth="1"/>
    <col min="18" max="18" width="12.8515625" style="0" bestFit="1" customWidth="1"/>
  </cols>
  <sheetData>
    <row r="1" spans="1:10" ht="18.75">
      <c r="A1" s="284" t="s">
        <v>86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8.75">
      <c r="A2" s="284" t="s">
        <v>197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8.75">
      <c r="A3" s="322" t="s">
        <v>41</v>
      </c>
      <c r="B3" s="323"/>
      <c r="C3" s="323"/>
      <c r="D3" s="323"/>
      <c r="E3" s="324"/>
      <c r="F3" s="303" t="s">
        <v>87</v>
      </c>
      <c r="G3" s="305"/>
      <c r="H3" s="303" t="s">
        <v>88</v>
      </c>
      <c r="I3" s="305"/>
      <c r="J3" s="328" t="s">
        <v>44</v>
      </c>
    </row>
    <row r="4" spans="1:13" ht="18.75">
      <c r="A4" s="325"/>
      <c r="B4" s="326"/>
      <c r="C4" s="326"/>
      <c r="D4" s="326"/>
      <c r="E4" s="327"/>
      <c r="F4" s="161" t="s">
        <v>89</v>
      </c>
      <c r="G4" s="160" t="s">
        <v>90</v>
      </c>
      <c r="H4" s="161" t="s">
        <v>89</v>
      </c>
      <c r="I4" s="161" t="s">
        <v>90</v>
      </c>
      <c r="J4" s="329"/>
      <c r="M4">
        <v>377000</v>
      </c>
    </row>
    <row r="5" spans="1:18" ht="18.75">
      <c r="A5" s="317" t="s">
        <v>198</v>
      </c>
      <c r="B5" s="318"/>
      <c r="C5" s="318"/>
      <c r="D5" s="318"/>
      <c r="E5" s="319"/>
      <c r="F5" s="138"/>
      <c r="G5" s="139"/>
      <c r="H5" s="139"/>
      <c r="I5" s="139"/>
      <c r="J5" s="180"/>
      <c r="M5" s="83">
        <f>F7</f>
        <v>0</v>
      </c>
      <c r="N5" s="84">
        <v>2167500</v>
      </c>
      <c r="P5">
        <v>3535</v>
      </c>
      <c r="R5" s="84">
        <v>1814000</v>
      </c>
    </row>
    <row r="6" spans="1:18" ht="18.75">
      <c r="A6" s="182" t="s">
        <v>199</v>
      </c>
      <c r="B6" s="184"/>
      <c r="C6" s="184"/>
      <c r="D6" s="184"/>
      <c r="E6" s="184"/>
      <c r="F6" s="165">
        <v>0</v>
      </c>
      <c r="G6" s="170">
        <v>3697500</v>
      </c>
      <c r="H6" s="165">
        <v>310500</v>
      </c>
      <c r="I6" s="165">
        <f>3387000+H6</f>
        <v>3697500</v>
      </c>
      <c r="J6" s="166">
        <f>G6-I6</f>
        <v>0</v>
      </c>
      <c r="M6">
        <f>SUM(M4:M5)</f>
        <v>377000</v>
      </c>
      <c r="N6" s="84">
        <v>959500</v>
      </c>
      <c r="R6" s="84">
        <v>1313000</v>
      </c>
    </row>
    <row r="7" spans="1:18" ht="18.75">
      <c r="A7" s="182" t="s">
        <v>200</v>
      </c>
      <c r="B7" s="184"/>
      <c r="C7" s="184"/>
      <c r="D7" s="184"/>
      <c r="E7" s="184"/>
      <c r="F7" s="165">
        <v>0</v>
      </c>
      <c r="G7" s="170">
        <v>764000</v>
      </c>
      <c r="H7" s="165">
        <v>160500</v>
      </c>
      <c r="I7" s="165">
        <f>603500+H7</f>
        <v>764000</v>
      </c>
      <c r="J7" s="166">
        <f>G7-I7</f>
        <v>0</v>
      </c>
      <c r="L7">
        <v>288036</v>
      </c>
      <c r="N7" s="84">
        <f>SUM(N5:N6)</f>
        <v>3127000</v>
      </c>
      <c r="R7" s="84">
        <v>353500</v>
      </c>
    </row>
    <row r="8" spans="1:18" ht="21">
      <c r="A8" s="182" t="s">
        <v>217</v>
      </c>
      <c r="B8" s="184"/>
      <c r="C8" s="184"/>
      <c r="D8" s="184"/>
      <c r="E8" s="184"/>
      <c r="F8" s="165">
        <v>0</v>
      </c>
      <c r="G8" s="170">
        <v>1077960.38</v>
      </c>
      <c r="H8" s="165">
        <v>0</v>
      </c>
      <c r="I8" s="165">
        <v>1077960.38</v>
      </c>
      <c r="J8" s="166">
        <f>G8-I8</f>
        <v>0</v>
      </c>
      <c r="L8" s="90">
        <v>96012</v>
      </c>
      <c r="P8" s="83">
        <f>J7</f>
        <v>0</v>
      </c>
      <c r="R8" s="84">
        <f>SUM(R5:R7)</f>
        <v>3480500</v>
      </c>
    </row>
    <row r="9" spans="1:16" ht="18.75">
      <c r="A9" s="182"/>
      <c r="B9" s="184"/>
      <c r="C9" s="184"/>
      <c r="D9" s="184"/>
      <c r="E9" s="184"/>
      <c r="F9" s="165"/>
      <c r="G9" s="170"/>
      <c r="H9" s="165"/>
      <c r="I9" s="165"/>
      <c r="J9" s="166">
        <f>G9-I9</f>
        <v>0</v>
      </c>
      <c r="L9">
        <v>96012</v>
      </c>
      <c r="P9" s="83">
        <f>I7</f>
        <v>764000</v>
      </c>
    </row>
    <row r="10" spans="1:16" ht="18.75">
      <c r="A10" s="320" t="s">
        <v>201</v>
      </c>
      <c r="B10" s="320"/>
      <c r="C10" s="320"/>
      <c r="D10" s="320"/>
      <c r="E10" s="321"/>
      <c r="F10" s="181"/>
      <c r="G10" s="170"/>
      <c r="H10" s="170"/>
      <c r="I10" s="170"/>
      <c r="J10" s="166"/>
      <c r="L10">
        <v>87402</v>
      </c>
      <c r="M10" s="83">
        <f>G19-I19</f>
        <v>24234</v>
      </c>
      <c r="P10" s="83">
        <f>SUM(P8:P9)</f>
        <v>764000</v>
      </c>
    </row>
    <row r="11" spans="1:12" ht="18.75">
      <c r="A11" s="182" t="s">
        <v>206</v>
      </c>
      <c r="B11" s="184"/>
      <c r="C11" s="184"/>
      <c r="D11" s="184"/>
      <c r="E11" s="184"/>
      <c r="F11" s="141">
        <v>0</v>
      </c>
      <c r="G11" s="142">
        <v>75000</v>
      </c>
      <c r="H11" s="141">
        <v>35000</v>
      </c>
      <c r="I11" s="141">
        <v>75000</v>
      </c>
      <c r="J11" s="140">
        <v>0</v>
      </c>
      <c r="L11" s="91">
        <f>SUM(L7:L10)</f>
        <v>567462</v>
      </c>
    </row>
    <row r="12" spans="1:10" ht="18.75">
      <c r="A12" s="182" t="s">
        <v>208</v>
      </c>
      <c r="B12" s="184"/>
      <c r="C12" s="184"/>
      <c r="D12" s="184"/>
      <c r="E12" s="184"/>
      <c r="F12" s="165">
        <v>99918</v>
      </c>
      <c r="G12" s="170">
        <f>1056846+F12</f>
        <v>1156764</v>
      </c>
      <c r="H12" s="165">
        <v>109434</v>
      </c>
      <c r="I12" s="165">
        <v>1132530</v>
      </c>
      <c r="J12" s="166">
        <f>G12-I12</f>
        <v>24234</v>
      </c>
    </row>
    <row r="13" spans="1:17" ht="18.75">
      <c r="A13" s="182" t="s">
        <v>216</v>
      </c>
      <c r="B13" s="184"/>
      <c r="C13" s="184"/>
      <c r="D13" s="184"/>
      <c r="E13" s="184"/>
      <c r="F13" s="165">
        <v>0</v>
      </c>
      <c r="G13" s="170">
        <v>61480</v>
      </c>
      <c r="H13" s="165">
        <v>0</v>
      </c>
      <c r="I13" s="165">
        <v>61480</v>
      </c>
      <c r="J13" s="166">
        <f>G13-I13</f>
        <v>0</v>
      </c>
      <c r="M13" s="84">
        <v>3301126.15</v>
      </c>
      <c r="Q13">
        <v>274320</v>
      </c>
    </row>
    <row r="14" spans="1:17" ht="18.75">
      <c r="A14" s="315" t="s">
        <v>205</v>
      </c>
      <c r="B14" s="315"/>
      <c r="C14" s="315"/>
      <c r="D14" s="315"/>
      <c r="E14" s="316"/>
      <c r="F14" s="165"/>
      <c r="G14" s="170"/>
      <c r="H14" s="165"/>
      <c r="I14" s="165"/>
      <c r="J14" s="166"/>
      <c r="L14" s="83">
        <f>5767518.38+F19</f>
        <v>5867436.38</v>
      </c>
      <c r="M14" s="84">
        <v>3112634.15</v>
      </c>
      <c r="Q14">
        <v>105156</v>
      </c>
    </row>
    <row r="15" spans="1:17" ht="18.75">
      <c r="A15" s="185" t="s">
        <v>207</v>
      </c>
      <c r="B15" s="186"/>
      <c r="C15" s="186"/>
      <c r="D15" s="186"/>
      <c r="E15" s="186"/>
      <c r="F15" s="141">
        <v>0</v>
      </c>
      <c r="G15" s="142">
        <v>10000</v>
      </c>
      <c r="H15" s="141">
        <v>10000</v>
      </c>
      <c r="I15" s="141">
        <v>10000</v>
      </c>
      <c r="J15" s="141">
        <f>G15-I15</f>
        <v>0</v>
      </c>
      <c r="M15" s="84">
        <f>M13-M14</f>
        <v>188492</v>
      </c>
      <c r="O15" s="83">
        <f>J19+I19</f>
        <v>6842704.38</v>
      </c>
      <c r="Q15">
        <v>87812</v>
      </c>
    </row>
    <row r="16" spans="1:17" ht="18.75">
      <c r="A16" s="184"/>
      <c r="B16" s="184"/>
      <c r="C16" s="184"/>
      <c r="D16" s="184"/>
      <c r="E16" s="184"/>
      <c r="F16" s="165"/>
      <c r="G16" s="170"/>
      <c r="H16" s="181"/>
      <c r="I16" s="165"/>
      <c r="J16" s="165"/>
      <c r="Q16">
        <v>4162</v>
      </c>
    </row>
    <row r="17" spans="1:17" ht="18.75">
      <c r="A17" s="182"/>
      <c r="B17" s="184"/>
      <c r="C17" s="184"/>
      <c r="D17" s="184"/>
      <c r="E17" s="184"/>
      <c r="F17" s="165"/>
      <c r="G17" s="170"/>
      <c r="H17" s="181"/>
      <c r="I17" s="165"/>
      <c r="J17" s="165"/>
      <c r="L17" s="83">
        <f>G19-I19</f>
        <v>24234</v>
      </c>
      <c r="Q17">
        <f>SUM(Q13:Q16)</f>
        <v>471450</v>
      </c>
    </row>
    <row r="18" spans="1:17" ht="18.75">
      <c r="A18" s="182"/>
      <c r="B18" s="184"/>
      <c r="C18" s="184"/>
      <c r="D18" s="184"/>
      <c r="E18" s="184"/>
      <c r="F18" s="165"/>
      <c r="G18" s="170"/>
      <c r="H18" s="181"/>
      <c r="I18" s="165"/>
      <c r="J18" s="165"/>
      <c r="M18" s="83">
        <f>I19+J19</f>
        <v>6842704.38</v>
      </c>
      <c r="Q18">
        <v>87402</v>
      </c>
    </row>
    <row r="19" spans="1:17" ht="19.5" thickBot="1">
      <c r="A19" s="171"/>
      <c r="B19" s="171"/>
      <c r="C19" s="171"/>
      <c r="D19" s="171"/>
      <c r="E19" s="171"/>
      <c r="F19" s="183">
        <f>F6+F11+F12+F13+F14+F15+F16+F17+F18+F7+F8</f>
        <v>99918</v>
      </c>
      <c r="G19" s="172">
        <f>G6+G11+G12+G13+G14+G15+G16+G17+G18+G7+G8</f>
        <v>6842704.38</v>
      </c>
      <c r="H19" s="183">
        <f>SUM(H6:H18)</f>
        <v>625434</v>
      </c>
      <c r="I19" s="172">
        <f>I6+I11+I12+I13+I14+I15+I16+I7+I8</f>
        <v>6818470.38</v>
      </c>
      <c r="J19" s="174">
        <f>J6+J7+J8+J9+J11+J12+J13+J14+J15+J16+J17+J18</f>
        <v>24234</v>
      </c>
      <c r="O19">
        <f>L11-Q19</f>
        <v>8610</v>
      </c>
      <c r="Q19">
        <f>Q17+Q18</f>
        <v>558852</v>
      </c>
    </row>
    <row r="20" spans="1:12" ht="23.25" thickTop="1">
      <c r="A20" s="33"/>
      <c r="B20" s="33"/>
      <c r="C20" s="33"/>
      <c r="D20" s="33"/>
      <c r="E20" s="33"/>
      <c r="F20" s="33"/>
      <c r="G20" s="33"/>
      <c r="H20" s="33"/>
      <c r="I20" s="34"/>
      <c r="J20" s="33"/>
      <c r="L20">
        <v>5874450.38</v>
      </c>
    </row>
    <row r="21" spans="1:13" ht="22.5">
      <c r="A21" s="33"/>
      <c r="B21" s="33"/>
      <c r="C21" s="33"/>
      <c r="D21" s="33"/>
      <c r="E21" s="33"/>
      <c r="F21" s="33"/>
      <c r="G21" s="33"/>
      <c r="H21" s="33"/>
      <c r="I21" s="33"/>
      <c r="J21" s="33"/>
      <c r="L21">
        <v>868336</v>
      </c>
      <c r="M21">
        <v>5649716.38</v>
      </c>
    </row>
    <row r="22" spans="12:13" ht="12.75">
      <c r="L22">
        <f>SUM(L20:L21)</f>
        <v>6742786.38</v>
      </c>
      <c r="M22">
        <v>543320</v>
      </c>
    </row>
    <row r="23" ht="12.75">
      <c r="M23">
        <f>SUM(M21:M22)</f>
        <v>6193036.38</v>
      </c>
    </row>
  </sheetData>
  <sheetProtection/>
  <mergeCells count="9">
    <mergeCell ref="A14:E14"/>
    <mergeCell ref="A5:E5"/>
    <mergeCell ref="A10:E10"/>
    <mergeCell ref="A1:J1"/>
    <mergeCell ref="A2:J2"/>
    <mergeCell ref="A3:E4"/>
    <mergeCell ref="F3:G3"/>
    <mergeCell ref="H3:I3"/>
    <mergeCell ref="J3:J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5.57421875" style="0" customWidth="1"/>
    <col min="2" max="2" width="13.57421875" style="0" customWidth="1"/>
    <col min="4" max="4" width="29.8515625" style="0" customWidth="1"/>
    <col min="6" max="6" width="15.7109375" style="0" customWidth="1"/>
    <col min="8" max="9" width="13.8515625" style="0" bestFit="1" customWidth="1"/>
    <col min="10" max="10" width="11.28125" style="0" bestFit="1" customWidth="1"/>
    <col min="12" max="12" width="14.00390625" style="0" bestFit="1" customWidth="1"/>
    <col min="14" max="14" width="14.00390625" style="0" bestFit="1" customWidth="1"/>
  </cols>
  <sheetData>
    <row r="1" spans="1:9" ht="23.25">
      <c r="A1" s="187" t="s">
        <v>91</v>
      </c>
      <c r="B1" s="188"/>
      <c r="C1" s="188"/>
      <c r="D1" s="188"/>
      <c r="E1" s="94"/>
      <c r="F1" s="187"/>
      <c r="G1" s="29"/>
      <c r="H1" s="29"/>
      <c r="I1" s="29"/>
    </row>
    <row r="2" spans="1:9" ht="23.25">
      <c r="A2" s="189" t="s">
        <v>192</v>
      </c>
      <c r="B2" s="188"/>
      <c r="C2" s="188"/>
      <c r="D2" s="188"/>
      <c r="E2" s="94"/>
      <c r="F2" s="187"/>
      <c r="G2" s="29"/>
      <c r="H2" s="29"/>
      <c r="I2" s="29"/>
    </row>
    <row r="3" spans="1:9" ht="23.25">
      <c r="A3" s="280" t="s">
        <v>92</v>
      </c>
      <c r="B3" s="280"/>
      <c r="C3" s="280"/>
      <c r="D3" s="280"/>
      <c r="E3" s="280"/>
      <c r="F3" s="280"/>
      <c r="G3" s="29"/>
      <c r="H3" s="29"/>
      <c r="I3" s="29"/>
    </row>
    <row r="4" spans="1:9" ht="23.25">
      <c r="A4" s="282" t="s">
        <v>245</v>
      </c>
      <c r="B4" s="280"/>
      <c r="C4" s="280"/>
      <c r="D4" s="280"/>
      <c r="E4" s="280"/>
      <c r="F4" s="280"/>
      <c r="G4" s="29"/>
      <c r="H4" s="29"/>
      <c r="I4" s="29"/>
    </row>
    <row r="5" spans="1:9" ht="23.25">
      <c r="A5" s="105"/>
      <c r="B5" s="105"/>
      <c r="C5" s="101"/>
      <c r="D5" s="101"/>
      <c r="E5" s="190"/>
      <c r="F5" s="105"/>
      <c r="G5" s="29"/>
      <c r="H5" s="29"/>
      <c r="I5" s="29"/>
    </row>
    <row r="6" spans="1:9" ht="23.25">
      <c r="A6" s="330" t="s">
        <v>93</v>
      </c>
      <c r="B6" s="331"/>
      <c r="C6" s="191"/>
      <c r="D6" s="192"/>
      <c r="E6" s="96" t="s">
        <v>3</v>
      </c>
      <c r="F6" s="97" t="s">
        <v>89</v>
      </c>
      <c r="G6" s="29"/>
      <c r="H6" s="29"/>
      <c r="I6" s="29"/>
    </row>
    <row r="7" spans="1:9" ht="23.25">
      <c r="A7" s="97" t="s">
        <v>94</v>
      </c>
      <c r="B7" s="97" t="s">
        <v>95</v>
      </c>
      <c r="C7" s="193" t="s">
        <v>41</v>
      </c>
      <c r="D7" s="194"/>
      <c r="E7" s="106" t="s">
        <v>6</v>
      </c>
      <c r="F7" s="195" t="s">
        <v>95</v>
      </c>
      <c r="G7" s="29"/>
      <c r="H7" s="29"/>
      <c r="I7" s="29"/>
    </row>
    <row r="8" spans="1:9" ht="23.25">
      <c r="A8" s="100" t="s">
        <v>96</v>
      </c>
      <c r="B8" s="100" t="s">
        <v>96</v>
      </c>
      <c r="C8" s="98"/>
      <c r="D8" s="196"/>
      <c r="E8" s="99"/>
      <c r="F8" s="100" t="s">
        <v>96</v>
      </c>
      <c r="G8" s="29"/>
      <c r="H8" s="29"/>
      <c r="I8" s="29"/>
    </row>
    <row r="9" spans="1:9" ht="23.25">
      <c r="A9" s="197"/>
      <c r="B9" s="198">
        <v>11950970.91</v>
      </c>
      <c r="C9" s="188" t="s">
        <v>42</v>
      </c>
      <c r="D9" s="188"/>
      <c r="E9" s="199"/>
      <c r="F9" s="200">
        <v>13442936.56</v>
      </c>
      <c r="G9" s="29"/>
      <c r="H9" s="29"/>
      <c r="I9" s="82">
        <f>12706866.06+F18</f>
        <v>14035846</v>
      </c>
    </row>
    <row r="10" spans="1:14" ht="23.25">
      <c r="A10" s="197"/>
      <c r="B10" s="201"/>
      <c r="C10" s="202" t="s">
        <v>97</v>
      </c>
      <c r="D10" s="188"/>
      <c r="E10" s="106"/>
      <c r="F10" s="104"/>
      <c r="G10" s="29"/>
      <c r="H10" s="82">
        <f>15455899.24+F18</f>
        <v>16784879.18</v>
      </c>
      <c r="I10" s="29"/>
      <c r="L10">
        <v>897.16</v>
      </c>
      <c r="N10" s="84">
        <v>11717222.77</v>
      </c>
    </row>
    <row r="11" spans="1:14" ht="23.25">
      <c r="A11" s="203">
        <f>35000+65000+1000+1000+1000</f>
        <v>103000</v>
      </c>
      <c r="B11" s="104">
        <f>91555.95+F11</f>
        <v>91812.04</v>
      </c>
      <c r="C11" s="204" t="s">
        <v>98</v>
      </c>
      <c r="D11" s="101"/>
      <c r="E11" s="102" t="s">
        <v>99</v>
      </c>
      <c r="F11" s="104">
        <v>256.09</v>
      </c>
      <c r="G11" s="29"/>
      <c r="H11" s="29"/>
      <c r="I11" s="29"/>
      <c r="L11">
        <v>181</v>
      </c>
      <c r="N11" s="84">
        <f>F18</f>
        <v>1328979.94</v>
      </c>
    </row>
    <row r="12" spans="1:14" ht="23.25">
      <c r="A12" s="203">
        <f>500+500+500+50000+500</f>
        <v>52000</v>
      </c>
      <c r="B12" s="104">
        <f>69101+F12</f>
        <v>69151</v>
      </c>
      <c r="C12" s="204" t="s">
        <v>100</v>
      </c>
      <c r="D12" s="101"/>
      <c r="E12" s="102" t="s">
        <v>101</v>
      </c>
      <c r="F12" s="104">
        <v>50</v>
      </c>
      <c r="G12" s="29"/>
      <c r="H12" s="29"/>
      <c r="I12" s="29"/>
      <c r="L12">
        <f>L10-L11</f>
        <v>716.16</v>
      </c>
      <c r="N12" s="84">
        <f>SUM(N10:N11)</f>
        <v>13046202.709999999</v>
      </c>
    </row>
    <row r="13" spans="1:14" ht="23.25">
      <c r="A13" s="203">
        <f>2000+30000</f>
        <v>32000</v>
      </c>
      <c r="B13" s="104">
        <f>30332.41+F13</f>
        <v>61022.72</v>
      </c>
      <c r="C13" s="204" t="s">
        <v>102</v>
      </c>
      <c r="D13" s="101"/>
      <c r="E13" s="102" t="s">
        <v>103</v>
      </c>
      <c r="F13" s="104">
        <f>800+29890.31</f>
        <v>30690.31</v>
      </c>
      <c r="G13" s="29"/>
      <c r="H13" s="29"/>
      <c r="I13" s="29"/>
      <c r="J13" s="83">
        <f>'หมายเหตุ 1'!G303</f>
        <v>892488.3600000001</v>
      </c>
      <c r="N13" s="84"/>
    </row>
    <row r="14" spans="1:14" ht="23.25">
      <c r="A14" s="203">
        <v>0</v>
      </c>
      <c r="B14" s="104">
        <f>F14</f>
        <v>0</v>
      </c>
      <c r="C14" s="205" t="s">
        <v>104</v>
      </c>
      <c r="D14" s="101"/>
      <c r="E14" s="102" t="s">
        <v>105</v>
      </c>
      <c r="F14" s="104">
        <v>0</v>
      </c>
      <c r="G14" s="29"/>
      <c r="H14" s="29"/>
      <c r="I14" s="29"/>
      <c r="J14" s="83">
        <f>F18</f>
        <v>1328979.94</v>
      </c>
      <c r="N14" s="84"/>
    </row>
    <row r="15" spans="1:10" ht="23.25">
      <c r="A15" s="203">
        <f>121000</f>
        <v>121000</v>
      </c>
      <c r="B15" s="104">
        <f>42839</f>
        <v>42839</v>
      </c>
      <c r="C15" s="204" t="s">
        <v>106</v>
      </c>
      <c r="D15" s="101"/>
      <c r="E15" s="102" t="s">
        <v>107</v>
      </c>
      <c r="F15" s="195">
        <v>0</v>
      </c>
      <c r="G15" s="29"/>
      <c r="H15" s="29"/>
      <c r="I15" s="29"/>
      <c r="J15" s="83">
        <f>J14-J13</f>
        <v>436491.57999999984</v>
      </c>
    </row>
    <row r="16" spans="1:9" ht="23.25">
      <c r="A16" s="203">
        <f>820000+1700000+170000+4200000+1500000+10000+14000+38000+40000</f>
        <v>8492000</v>
      </c>
      <c r="B16" s="206">
        <f>8803733.89+F16</f>
        <v>10101717.43</v>
      </c>
      <c r="C16" s="204" t="s">
        <v>108</v>
      </c>
      <c r="D16" s="101"/>
      <c r="E16" s="106">
        <v>1000</v>
      </c>
      <c r="F16" s="207">
        <f>461102.87+306301.86+16219.74+113421.34+243279.07+38788.61+17529.05+101341</f>
        <v>1297983.54</v>
      </c>
      <c r="G16" s="29"/>
      <c r="H16" s="29"/>
      <c r="I16" s="82">
        <f>'หมายเหตุ 1'!G217</f>
        <v>873705.83</v>
      </c>
    </row>
    <row r="17" spans="1:9" ht="23.25">
      <c r="A17" s="203">
        <v>7300000</v>
      </c>
      <c r="B17" s="206">
        <v>7445198</v>
      </c>
      <c r="C17" s="204" t="s">
        <v>109</v>
      </c>
      <c r="D17" s="101"/>
      <c r="E17" s="106">
        <v>2000</v>
      </c>
      <c r="F17" s="208">
        <v>0</v>
      </c>
      <c r="G17" s="29"/>
      <c r="H17" s="29"/>
      <c r="I17" s="82">
        <f>F18</f>
        <v>1328979.94</v>
      </c>
    </row>
    <row r="18" spans="1:10" ht="24" thickBot="1">
      <c r="A18" s="209">
        <f>SUM(A9:A17)</f>
        <v>16100000</v>
      </c>
      <c r="B18" s="210">
        <f>B11+B12+B13+B14+B15+B16+B17</f>
        <v>17811740.189999998</v>
      </c>
      <c r="C18" s="188"/>
      <c r="D18" s="188"/>
      <c r="E18" s="199"/>
      <c r="F18" s="108">
        <f>SUM(F11+F12+F13+F14+F15+F16+F17)</f>
        <v>1328979.94</v>
      </c>
      <c r="G18" s="29"/>
      <c r="H18" s="29"/>
      <c r="I18" s="82">
        <f>I16-I17</f>
        <v>-455274.11</v>
      </c>
      <c r="J18" t="s">
        <v>219</v>
      </c>
    </row>
    <row r="19" spans="1:9" ht="24" thickTop="1">
      <c r="A19" s="211"/>
      <c r="B19" s="200"/>
      <c r="C19" s="188"/>
      <c r="D19" s="188"/>
      <c r="E19" s="199"/>
      <c r="F19" s="201"/>
      <c r="G19" s="29"/>
      <c r="H19" s="29"/>
      <c r="I19" s="82"/>
    </row>
    <row r="20" spans="1:9" ht="23.25">
      <c r="A20" s="212"/>
      <c r="B20" s="104">
        <f>347862.97+F20</f>
        <v>464969.41</v>
      </c>
      <c r="C20" s="101" t="s">
        <v>32</v>
      </c>
      <c r="D20" s="101"/>
      <c r="E20" s="106">
        <v>900</v>
      </c>
      <c r="F20" s="195">
        <f>'หมายเหตุ 2'!E10</f>
        <v>117106.44</v>
      </c>
      <c r="G20" s="29"/>
      <c r="H20" s="29"/>
      <c r="I20" s="29"/>
    </row>
    <row r="21" spans="1:9" ht="23.25">
      <c r="A21" s="212"/>
      <c r="B21" s="206">
        <f>6742786.38+F21</f>
        <v>6842704.38</v>
      </c>
      <c r="C21" s="101" t="s">
        <v>193</v>
      </c>
      <c r="D21" s="101"/>
      <c r="E21" s="106">
        <v>3000</v>
      </c>
      <c r="F21" s="195">
        <f>หมายเหตุ6!F19</f>
        <v>99918</v>
      </c>
      <c r="G21" s="29"/>
      <c r="H21" s="29"/>
      <c r="I21" s="29"/>
    </row>
    <row r="22" spans="1:14" ht="23.25">
      <c r="A22" s="212"/>
      <c r="B22" s="104">
        <v>10648.98</v>
      </c>
      <c r="C22" s="101" t="s">
        <v>110</v>
      </c>
      <c r="D22" s="101"/>
      <c r="E22" s="106"/>
      <c r="F22" s="195">
        <v>0</v>
      </c>
      <c r="G22" s="29"/>
      <c r="H22" s="29"/>
      <c r="I22" s="29" t="s">
        <v>70</v>
      </c>
      <c r="J22" t="s">
        <v>71</v>
      </c>
      <c r="N22" s="84">
        <v>4387032.95</v>
      </c>
    </row>
    <row r="23" spans="1:14" ht="23.25">
      <c r="A23" s="212"/>
      <c r="B23" s="104">
        <v>13299</v>
      </c>
      <c r="C23" s="101" t="s">
        <v>37</v>
      </c>
      <c r="D23" s="101"/>
      <c r="E23" s="102">
        <v>700</v>
      </c>
      <c r="F23" s="195"/>
      <c r="G23" s="29"/>
      <c r="H23" s="29"/>
      <c r="I23" s="29">
        <v>4029.76</v>
      </c>
      <c r="J23" s="85">
        <v>4029.76</v>
      </c>
      <c r="L23" s="83">
        <f>F28</f>
        <v>1698467.38</v>
      </c>
      <c r="N23" s="84">
        <v>12876558.54</v>
      </c>
    </row>
    <row r="24" spans="1:14" ht="23.25">
      <c r="A24" s="212"/>
      <c r="B24" s="104">
        <v>178800</v>
      </c>
      <c r="C24" s="101" t="s">
        <v>15</v>
      </c>
      <c r="D24" s="101"/>
      <c r="E24" s="102"/>
      <c r="F24" s="195">
        <v>0</v>
      </c>
      <c r="G24" s="29"/>
      <c r="H24" s="29"/>
      <c r="I24" s="29">
        <v>574.58</v>
      </c>
      <c r="L24">
        <v>15397597.01</v>
      </c>
      <c r="N24" s="84">
        <v>166613.88</v>
      </c>
    </row>
    <row r="25" spans="1:14" ht="23.25">
      <c r="A25" s="212"/>
      <c r="B25" s="104">
        <v>40000</v>
      </c>
      <c r="C25" s="101" t="s">
        <v>111</v>
      </c>
      <c r="D25" s="101"/>
      <c r="E25" s="102"/>
      <c r="F25" s="195">
        <v>0</v>
      </c>
      <c r="G25" s="29"/>
      <c r="H25" s="29"/>
      <c r="I25" s="32">
        <f>SUM(I23:I24)</f>
        <v>4604.34</v>
      </c>
      <c r="L25" s="83">
        <f>SUM(L23:L24)</f>
        <v>17096064.39</v>
      </c>
      <c r="N25" s="84">
        <f>SUM(N22:N24)</f>
        <v>17430205.369999997</v>
      </c>
    </row>
    <row r="26" spans="1:9" ht="23.25">
      <c r="A26" s="212"/>
      <c r="B26" s="104">
        <f>147677+F26</f>
        <v>300140</v>
      </c>
      <c r="C26" s="101" t="s">
        <v>112</v>
      </c>
      <c r="D26" s="101"/>
      <c r="E26" s="102" t="s">
        <v>16</v>
      </c>
      <c r="F26" s="195">
        <v>152463</v>
      </c>
      <c r="G26" s="29"/>
      <c r="H26" s="29"/>
      <c r="I26" s="29"/>
    </row>
    <row r="27" spans="1:9" ht="23.25">
      <c r="A27" s="212"/>
      <c r="B27" s="213">
        <f>B20+B21+B22+B23+B24+B26+B25</f>
        <v>7850561.7700000005</v>
      </c>
      <c r="C27" s="101"/>
      <c r="D27" s="101"/>
      <c r="E27" s="106"/>
      <c r="F27" s="214">
        <f>SUM(F20:F26)</f>
        <v>369487.44</v>
      </c>
      <c r="G27" s="29"/>
      <c r="H27" s="29"/>
      <c r="I27" s="29"/>
    </row>
    <row r="28" spans="1:9" ht="24" thickBot="1">
      <c r="A28" s="211"/>
      <c r="B28" s="271">
        <f>+B27+B18</f>
        <v>25662301.959999997</v>
      </c>
      <c r="C28" s="332" t="s">
        <v>113</v>
      </c>
      <c r="D28" s="333"/>
      <c r="E28" s="215"/>
      <c r="F28" s="216">
        <f>+F27+F18</f>
        <v>1698467.38</v>
      </c>
      <c r="G28" s="29"/>
      <c r="H28" s="29"/>
      <c r="I28" s="29"/>
    </row>
    <row r="29" spans="1:9" ht="24" thickTop="1">
      <c r="A29" s="105"/>
      <c r="B29" s="105"/>
      <c r="C29" s="101"/>
      <c r="D29" s="101"/>
      <c r="E29" s="190"/>
      <c r="F29" s="105"/>
      <c r="G29" s="29"/>
      <c r="H29" s="29"/>
      <c r="I29" s="29"/>
    </row>
    <row r="30" spans="1:6" ht="18.75">
      <c r="A30" s="217"/>
      <c r="B30" s="217"/>
      <c r="C30" s="218"/>
      <c r="D30" s="218"/>
      <c r="E30" s="219"/>
      <c r="F30" s="217"/>
    </row>
    <row r="31" spans="1:6" ht="18.75">
      <c r="A31" s="217"/>
      <c r="B31" s="217"/>
      <c r="C31" s="218"/>
      <c r="D31" s="218"/>
      <c r="E31" s="219"/>
      <c r="F31" s="217"/>
    </row>
    <row r="32" spans="1:6" ht="18.75">
      <c r="A32" s="217"/>
      <c r="B32" s="217"/>
      <c r="C32" s="218"/>
      <c r="D32" s="218"/>
      <c r="E32" s="219"/>
      <c r="F32" s="217"/>
    </row>
    <row r="33" spans="1:6" ht="21.75">
      <c r="A33" s="35"/>
      <c r="B33" s="35"/>
      <c r="C33" s="36"/>
      <c r="D33" s="36"/>
      <c r="E33" s="37"/>
      <c r="F33" s="35"/>
    </row>
    <row r="34" spans="1:6" ht="21.75">
      <c r="A34" s="35"/>
      <c r="B34" s="35"/>
      <c r="C34" s="36"/>
      <c r="D34" s="36"/>
      <c r="E34" s="37"/>
      <c r="F34" s="35"/>
    </row>
    <row r="35" spans="1:6" ht="21.75">
      <c r="A35" s="35"/>
      <c r="B35" s="35"/>
      <c r="C35" s="36"/>
      <c r="D35" s="36"/>
      <c r="E35" s="37"/>
      <c r="F35" s="35"/>
    </row>
  </sheetData>
  <sheetProtection/>
  <mergeCells count="4">
    <mergeCell ref="A3:F3"/>
    <mergeCell ref="A4:F4"/>
    <mergeCell ref="A6:B6"/>
    <mergeCell ref="C28:D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23">
      <selection activeCell="I37" sqref="I37"/>
    </sheetView>
  </sheetViews>
  <sheetFormatPr defaultColWidth="9.140625" defaultRowHeight="12.75"/>
  <cols>
    <col min="1" max="1" width="15.28125" style="0" customWidth="1"/>
    <col min="2" max="2" width="14.140625" style="0" customWidth="1"/>
    <col min="4" max="4" width="29.7109375" style="0" customWidth="1"/>
    <col min="6" max="6" width="12.7109375" style="0" customWidth="1"/>
    <col min="8" max="10" width="13.8515625" style="0" bestFit="1" customWidth="1"/>
    <col min="11" max="11" width="14.00390625" style="0" bestFit="1" customWidth="1"/>
    <col min="12" max="12" width="12.8515625" style="0" bestFit="1" customWidth="1"/>
    <col min="13" max="13" width="14.00390625" style="0" bestFit="1" customWidth="1"/>
  </cols>
  <sheetData>
    <row r="1" spans="1:10" ht="23.25">
      <c r="A1" s="334" t="s">
        <v>93</v>
      </c>
      <c r="B1" s="335"/>
      <c r="C1" s="43"/>
      <c r="D1" s="44"/>
      <c r="E1" s="45" t="s">
        <v>3</v>
      </c>
      <c r="F1" s="46" t="s">
        <v>89</v>
      </c>
      <c r="G1" s="40"/>
      <c r="H1" s="29"/>
      <c r="I1" s="29"/>
      <c r="J1" s="29"/>
    </row>
    <row r="2" spans="1:10" ht="23.25">
      <c r="A2" s="46" t="s">
        <v>94</v>
      </c>
      <c r="B2" s="46" t="s">
        <v>95</v>
      </c>
      <c r="C2" s="58" t="s">
        <v>41</v>
      </c>
      <c r="D2" s="59"/>
      <c r="E2" s="45" t="s">
        <v>6</v>
      </c>
      <c r="F2" s="46" t="s">
        <v>95</v>
      </c>
      <c r="G2" s="40"/>
      <c r="H2" s="29"/>
      <c r="I2" s="29"/>
      <c r="J2" s="29"/>
    </row>
    <row r="3" spans="1:10" ht="23.25">
      <c r="A3" s="47" t="s">
        <v>96</v>
      </c>
      <c r="B3" s="47" t="s">
        <v>96</v>
      </c>
      <c r="C3" s="48"/>
      <c r="D3" s="49"/>
      <c r="E3" s="50"/>
      <c r="F3" s="47" t="s">
        <v>96</v>
      </c>
      <c r="G3" s="40"/>
      <c r="H3" s="29"/>
      <c r="I3" s="29"/>
      <c r="J3" s="29"/>
    </row>
    <row r="4" spans="1:10" ht="23.25">
      <c r="A4" s="60"/>
      <c r="B4" s="40"/>
      <c r="C4" s="61" t="s">
        <v>114</v>
      </c>
      <c r="D4" s="62"/>
      <c r="E4" s="42"/>
      <c r="F4" s="60"/>
      <c r="G4" s="40"/>
      <c r="H4" s="29"/>
      <c r="I4" s="29"/>
      <c r="J4" s="29"/>
    </row>
    <row r="5" spans="1:10" ht="23.25">
      <c r="A5" s="51">
        <v>2200000</v>
      </c>
      <c r="B5" s="40">
        <f>917767.06+F5</f>
        <v>1143763.06</v>
      </c>
      <c r="C5" s="63" t="s">
        <v>115</v>
      </c>
      <c r="D5" s="64"/>
      <c r="E5" s="65">
        <v>510000</v>
      </c>
      <c r="F5" s="51">
        <f>132000+93996</f>
        <v>225996</v>
      </c>
      <c r="G5" s="40"/>
      <c r="H5" s="29"/>
      <c r="I5" s="29"/>
      <c r="J5" s="29"/>
    </row>
    <row r="6" spans="1:10" ht="23.25">
      <c r="A6" s="51">
        <v>4143000</v>
      </c>
      <c r="B6" s="40">
        <f>3168029+F6</f>
        <v>3461112</v>
      </c>
      <c r="C6" s="63" t="s">
        <v>116</v>
      </c>
      <c r="D6" s="64"/>
      <c r="E6" s="42">
        <v>520000</v>
      </c>
      <c r="F6" s="51">
        <v>293083</v>
      </c>
      <c r="G6" s="40"/>
      <c r="H6" s="29"/>
      <c r="I6" s="29"/>
      <c r="J6" s="29"/>
    </row>
    <row r="7" spans="1:10" ht="23.25">
      <c r="A7" s="51">
        <v>279940</v>
      </c>
      <c r="B7" s="40">
        <f>236300+F7</f>
        <v>260400</v>
      </c>
      <c r="C7" s="63" t="s">
        <v>117</v>
      </c>
      <c r="D7" s="64"/>
      <c r="E7" s="42"/>
      <c r="F7" s="51">
        <v>24100</v>
      </c>
      <c r="G7" s="40"/>
      <c r="H7" s="29"/>
      <c r="I7" s="29"/>
      <c r="J7" s="29"/>
    </row>
    <row r="8" spans="1:10" ht="23.25">
      <c r="A8" s="51">
        <v>446060</v>
      </c>
      <c r="B8" s="40">
        <f>271239+F8</f>
        <v>313509</v>
      </c>
      <c r="C8" s="63" t="s">
        <v>118</v>
      </c>
      <c r="D8" s="64"/>
      <c r="E8" s="42"/>
      <c r="F8" s="51">
        <v>42270</v>
      </c>
      <c r="G8" s="40"/>
      <c r="H8" s="32">
        <v>3687145.79</v>
      </c>
      <c r="I8" s="29">
        <v>782303.87</v>
      </c>
      <c r="J8" s="29"/>
    </row>
    <row r="9" spans="1:10" ht="23.25">
      <c r="A9" s="51">
        <v>579600</v>
      </c>
      <c r="B9" s="40">
        <f>315540+F9</f>
        <v>365577</v>
      </c>
      <c r="C9" s="63" t="s">
        <v>119</v>
      </c>
      <c r="D9" s="64"/>
      <c r="E9" s="42">
        <v>531000</v>
      </c>
      <c r="F9" s="51">
        <f>13000+37037</f>
        <v>50037</v>
      </c>
      <c r="G9" s="40"/>
      <c r="H9" s="32">
        <v>355646.9</v>
      </c>
      <c r="I9" s="82">
        <f>F17</f>
        <v>944251.4500000001</v>
      </c>
      <c r="J9" s="29"/>
    </row>
    <row r="10" spans="1:12" ht="23.25">
      <c r="A10" s="51">
        <v>2614500</v>
      </c>
      <c r="B10" s="40">
        <f>1289168+F10</f>
        <v>1382715</v>
      </c>
      <c r="C10" s="63" t="s">
        <v>120</v>
      </c>
      <c r="D10" s="64"/>
      <c r="E10" s="42">
        <v>532000</v>
      </c>
      <c r="F10" s="51">
        <f>2763+4700+86084</f>
        <v>93547</v>
      </c>
      <c r="G10" s="40"/>
      <c r="H10" s="32">
        <f>SUM(H8:H9)</f>
        <v>4042792.69</v>
      </c>
      <c r="I10" s="29">
        <f>SUM(I8:I9)</f>
        <v>1726555.32</v>
      </c>
      <c r="J10" s="29"/>
      <c r="L10" s="83">
        <f>F17</f>
        <v>944251.4500000001</v>
      </c>
    </row>
    <row r="11" spans="1:12" ht="23.25">
      <c r="A11" s="51">
        <v>2020000</v>
      </c>
      <c r="B11" s="40">
        <f>1190473.44+F11</f>
        <v>1261524.26</v>
      </c>
      <c r="C11" s="63" t="s">
        <v>121</v>
      </c>
      <c r="D11" s="64"/>
      <c r="E11" s="42">
        <v>533000</v>
      </c>
      <c r="F11" s="51">
        <v>71050.82</v>
      </c>
      <c r="G11" s="40"/>
      <c r="H11" s="29"/>
      <c r="I11" s="29"/>
      <c r="J11" s="29"/>
      <c r="L11">
        <v>4042792.69</v>
      </c>
    </row>
    <row r="12" spans="1:12" ht="23.25">
      <c r="A12" s="51">
        <v>126000</v>
      </c>
      <c r="B12" s="40">
        <f>89199.83+F12</f>
        <v>107067.46</v>
      </c>
      <c r="C12" s="63" t="s">
        <v>122</v>
      </c>
      <c r="D12" s="64"/>
      <c r="E12" s="42">
        <v>534000</v>
      </c>
      <c r="F12" s="51">
        <v>17867.63</v>
      </c>
      <c r="G12" s="40"/>
      <c r="H12" s="29"/>
      <c r="I12" s="29"/>
      <c r="J12" s="29"/>
      <c r="L12" s="83">
        <f>SUM(L10:L11)</f>
        <v>4987044.14</v>
      </c>
    </row>
    <row r="13" spans="1:10" ht="23.25">
      <c r="A13" s="51">
        <v>30000</v>
      </c>
      <c r="B13" s="40">
        <f>F13</f>
        <v>26300</v>
      </c>
      <c r="C13" s="63" t="s">
        <v>123</v>
      </c>
      <c r="D13" s="64"/>
      <c r="E13" s="42">
        <v>541000</v>
      </c>
      <c r="F13" s="52">
        <v>26300</v>
      </c>
      <c r="G13" s="40"/>
      <c r="H13" s="29"/>
      <c r="I13" s="82">
        <f>5442436.45+F17</f>
        <v>6386687.9</v>
      </c>
      <c r="J13" s="29"/>
    </row>
    <row r="14" spans="1:10" ht="23.25">
      <c r="A14" s="51">
        <v>2085500</v>
      </c>
      <c r="B14" s="40">
        <v>1419570</v>
      </c>
      <c r="C14" s="63" t="s">
        <v>124</v>
      </c>
      <c r="D14" s="64"/>
      <c r="E14" s="42">
        <v>542000</v>
      </c>
      <c r="F14" s="52">
        <v>0</v>
      </c>
      <c r="G14" s="40"/>
      <c r="H14" s="29" t="s">
        <v>220</v>
      </c>
      <c r="I14" s="29"/>
      <c r="J14" s="29">
        <v>9083709.65</v>
      </c>
    </row>
    <row r="15" spans="1:10" ht="23.25">
      <c r="A15" s="51">
        <v>25000</v>
      </c>
      <c r="B15" s="40">
        <v>25000</v>
      </c>
      <c r="C15" s="63" t="s">
        <v>125</v>
      </c>
      <c r="D15" s="64"/>
      <c r="E15" s="42">
        <v>550000</v>
      </c>
      <c r="F15" s="51">
        <v>0</v>
      </c>
      <c r="G15" s="40"/>
      <c r="H15" s="29"/>
      <c r="I15" s="29"/>
      <c r="J15" s="29">
        <v>1232976.68</v>
      </c>
    </row>
    <row r="16" spans="1:10" ht="23.25">
      <c r="A16" s="51">
        <v>1550400</v>
      </c>
      <c r="B16" s="40">
        <f>1394400+F16</f>
        <v>1494400</v>
      </c>
      <c r="C16" s="63" t="s">
        <v>126</v>
      </c>
      <c r="D16" s="64"/>
      <c r="E16" s="42">
        <v>560000</v>
      </c>
      <c r="F16" s="52">
        <v>100000</v>
      </c>
      <c r="G16" s="40"/>
      <c r="H16" s="29"/>
      <c r="I16" s="29"/>
      <c r="J16" s="32">
        <f>SUM(J14:J15)</f>
        <v>10316686.33</v>
      </c>
    </row>
    <row r="17" spans="1:10" ht="24" thickBot="1">
      <c r="A17" s="53">
        <f>SUM(A4:A16)</f>
        <v>16100000</v>
      </c>
      <c r="B17" s="53">
        <f>SUM(B5:B16)</f>
        <v>11260937.780000001</v>
      </c>
      <c r="C17" s="66"/>
      <c r="D17" s="67"/>
      <c r="E17" s="39"/>
      <c r="F17" s="53">
        <f>SUM(F5:F16)</f>
        <v>944251.4500000001</v>
      </c>
      <c r="G17" s="38"/>
      <c r="H17" s="29"/>
      <c r="I17" s="29"/>
      <c r="J17" s="29"/>
    </row>
    <row r="18" spans="1:10" ht="24" thickTop="1">
      <c r="A18" s="51"/>
      <c r="B18" s="54">
        <f>255559.37+F18</f>
        <v>259156.84</v>
      </c>
      <c r="C18" s="68" t="s">
        <v>32</v>
      </c>
      <c r="D18" s="64"/>
      <c r="E18" s="42">
        <v>230000</v>
      </c>
      <c r="F18" s="51">
        <f>'หมายเหตุ 2'!F10</f>
        <v>3597.47</v>
      </c>
      <c r="G18" s="40"/>
      <c r="H18" s="29"/>
      <c r="I18" s="29"/>
      <c r="J18" s="29"/>
    </row>
    <row r="19" spans="1:10" ht="23.25">
      <c r="A19" s="51"/>
      <c r="B19" s="54">
        <f>150440+F19</f>
        <v>300140</v>
      </c>
      <c r="C19" s="68" t="s">
        <v>112</v>
      </c>
      <c r="D19" s="64"/>
      <c r="E19" s="42"/>
      <c r="F19" s="51">
        <v>149700</v>
      </c>
      <c r="G19" s="40"/>
      <c r="H19" s="29"/>
      <c r="I19" s="29"/>
      <c r="J19" s="29"/>
    </row>
    <row r="20" spans="1:10" ht="23.25">
      <c r="A20" s="51"/>
      <c r="B20" s="54">
        <v>40000</v>
      </c>
      <c r="C20" s="68" t="s">
        <v>111</v>
      </c>
      <c r="D20" s="64"/>
      <c r="E20" s="42"/>
      <c r="F20" s="51">
        <v>0</v>
      </c>
      <c r="G20" s="40"/>
      <c r="H20" s="29"/>
      <c r="I20" s="29"/>
      <c r="J20" s="29"/>
    </row>
    <row r="21" spans="1:10" ht="23.25">
      <c r="A21" s="51"/>
      <c r="B21" s="54">
        <v>130800</v>
      </c>
      <c r="C21" s="68" t="s">
        <v>15</v>
      </c>
      <c r="D21" s="64"/>
      <c r="E21" s="42"/>
      <c r="F21" s="51">
        <v>0</v>
      </c>
      <c r="G21" s="40"/>
      <c r="H21" s="82">
        <f>รายรับ!F9</f>
        <v>13442936.56</v>
      </c>
      <c r="I21" s="82">
        <f>B32-F32</f>
        <v>0</v>
      </c>
      <c r="J21" s="29"/>
    </row>
    <row r="22" spans="1:10" ht="23.25">
      <c r="A22" s="51"/>
      <c r="B22" s="54">
        <f>430120+F22</f>
        <v>440120</v>
      </c>
      <c r="C22" s="68" t="s">
        <v>194</v>
      </c>
      <c r="D22" s="64"/>
      <c r="E22" s="42">
        <v>210300</v>
      </c>
      <c r="F22" s="51">
        <v>10000</v>
      </c>
      <c r="G22" s="40"/>
      <c r="H22" s="82">
        <f>รายรับ!F28</f>
        <v>1698467.38</v>
      </c>
      <c r="I22" s="29"/>
      <c r="J22" s="29"/>
    </row>
    <row r="23" spans="1:10" ht="23.25">
      <c r="A23" s="51"/>
      <c r="B23" s="54">
        <v>2832683.87</v>
      </c>
      <c r="C23" s="68" t="s">
        <v>127</v>
      </c>
      <c r="D23" s="64"/>
      <c r="E23" s="42">
        <v>210402</v>
      </c>
      <c r="F23" s="51">
        <f>'หมายเหตุ 4'!G18</f>
        <v>0</v>
      </c>
      <c r="G23" s="40"/>
      <c r="H23" s="82">
        <f>SUM(H21:H22)</f>
        <v>15141403.940000001</v>
      </c>
      <c r="I23" s="29"/>
      <c r="J23" s="29"/>
    </row>
    <row r="24" spans="1:10" ht="23.25">
      <c r="A24" s="51"/>
      <c r="B24" s="54">
        <v>545613</v>
      </c>
      <c r="C24" s="68" t="s">
        <v>128</v>
      </c>
      <c r="D24" s="64"/>
      <c r="E24" s="42"/>
      <c r="F24" s="51">
        <f>'หมายเหตุ 2'!E23</f>
        <v>0</v>
      </c>
      <c r="G24" s="40"/>
      <c r="H24" s="82">
        <f>H23-F29</f>
        <v>13408421.020000001</v>
      </c>
      <c r="I24" s="29"/>
      <c r="J24" s="29"/>
    </row>
    <row r="25" spans="1:11" ht="23.25">
      <c r="A25" s="51"/>
      <c r="B25" s="54">
        <v>10648.98</v>
      </c>
      <c r="C25" s="68" t="s">
        <v>110</v>
      </c>
      <c r="D25" s="64"/>
      <c r="E25" s="42"/>
      <c r="F25" s="51">
        <v>0</v>
      </c>
      <c r="G25" s="40"/>
      <c r="H25" s="29"/>
      <c r="I25" s="29"/>
      <c r="J25" s="29"/>
      <c r="K25">
        <v>359000</v>
      </c>
    </row>
    <row r="26" spans="1:13" ht="23.25">
      <c r="A26" s="51"/>
      <c r="B26" s="54">
        <v>1566281</v>
      </c>
      <c r="C26" s="68" t="s">
        <v>37</v>
      </c>
      <c r="D26" s="64"/>
      <c r="E26" s="42"/>
      <c r="F26" s="51">
        <v>0</v>
      </c>
      <c r="G26" s="40"/>
      <c r="H26" s="29"/>
      <c r="I26" s="82">
        <v>17430205.37</v>
      </c>
      <c r="J26" s="29"/>
      <c r="K26" s="83">
        <v>348518.73</v>
      </c>
      <c r="M26" s="84">
        <v>17430205.37</v>
      </c>
    </row>
    <row r="27" spans="1:13" ht="23.25">
      <c r="A27" s="51"/>
      <c r="B27" s="54">
        <f>6193036.38+F27</f>
        <v>6818470.38</v>
      </c>
      <c r="C27" s="68" t="s">
        <v>202</v>
      </c>
      <c r="D27" s="64"/>
      <c r="E27" s="42">
        <v>441000</v>
      </c>
      <c r="F27" s="51">
        <f>หมายเหตุ6!H19</f>
        <v>625434</v>
      </c>
      <c r="G27" s="40"/>
      <c r="H27" s="29"/>
      <c r="I27" s="32">
        <f>F32-I26</f>
        <v>-4021784.3499999996</v>
      </c>
      <c r="J27" s="29"/>
      <c r="K27" s="83">
        <f>K25-K26</f>
        <v>10481.270000000019</v>
      </c>
      <c r="M27" s="84">
        <f>F32</f>
        <v>13408421.020000001</v>
      </c>
    </row>
    <row r="28" spans="1:13" ht="25.5">
      <c r="A28" s="52"/>
      <c r="B28" s="55">
        <f>B18+B19+B20+B21+B22+B23+B24+B26+B27+B25</f>
        <v>12943914.07</v>
      </c>
      <c r="C28" s="69"/>
      <c r="D28" s="70"/>
      <c r="E28" s="42"/>
      <c r="F28" s="71">
        <f>SUM(F18:F27)</f>
        <v>788731.47</v>
      </c>
      <c r="G28" s="40"/>
      <c r="H28" s="32">
        <v>13408421.02</v>
      </c>
      <c r="I28" s="82">
        <v>17475205.37</v>
      </c>
      <c r="J28" s="29"/>
      <c r="K28" s="83"/>
      <c r="M28" s="84">
        <f>M26-M27</f>
        <v>4021784.3499999996</v>
      </c>
    </row>
    <row r="29" spans="1:13" ht="25.5">
      <c r="A29" s="55">
        <f>SUM(A17)</f>
        <v>16100000</v>
      </c>
      <c r="B29" s="72">
        <f>B17+B28</f>
        <v>24204851.85</v>
      </c>
      <c r="C29" s="336" t="s">
        <v>129</v>
      </c>
      <c r="D29" s="337"/>
      <c r="E29" s="39"/>
      <c r="F29" s="56">
        <f>F17+F28</f>
        <v>1732982.92</v>
      </c>
      <c r="G29" s="38"/>
      <c r="H29" s="82">
        <f>F32</f>
        <v>13408421.020000001</v>
      </c>
      <c r="I29" s="82">
        <f>M26</f>
        <v>17430205.37</v>
      </c>
      <c r="J29" s="29"/>
      <c r="M29" s="84"/>
    </row>
    <row r="30" spans="1:11" ht="23.25">
      <c r="A30" s="51"/>
      <c r="B30" s="73">
        <f>รายรับ!B28-รายจ่าย!B29</f>
        <v>1457450.1099999957</v>
      </c>
      <c r="C30" s="336" t="s">
        <v>130</v>
      </c>
      <c r="D30" s="337"/>
      <c r="E30" s="42"/>
      <c r="F30" s="74">
        <f>รายรับ!F28-รายจ่าย!F29</f>
        <v>-34515.54000000004</v>
      </c>
      <c r="G30" s="40"/>
      <c r="H30" s="29">
        <f>H28-H29</f>
        <v>0</v>
      </c>
      <c r="I30" s="32">
        <f>I28-I29</f>
        <v>45000</v>
      </c>
      <c r="J30" s="29"/>
      <c r="K30">
        <v>897.16</v>
      </c>
    </row>
    <row r="31" spans="1:11" ht="23.25">
      <c r="A31" s="51"/>
      <c r="B31" s="40"/>
      <c r="C31" s="75"/>
      <c r="D31" s="67"/>
      <c r="E31" s="42"/>
      <c r="F31" s="51"/>
      <c r="G31" s="40"/>
      <c r="H31" s="29"/>
      <c r="I31" s="82"/>
      <c r="J31" s="29"/>
      <c r="K31">
        <v>583.3</v>
      </c>
    </row>
    <row r="32" spans="1:11" ht="26.25" thickBot="1">
      <c r="A32" s="51"/>
      <c r="B32" s="57">
        <f>รายรับ!B9+รายรับ!B28-รายจ่าย!B29</f>
        <v>13408421.019999996</v>
      </c>
      <c r="C32" s="336" t="s">
        <v>131</v>
      </c>
      <c r="D32" s="337"/>
      <c r="E32" s="42"/>
      <c r="F32" s="80">
        <f>รายรับ!F9+รายรับ!F28-รายจ่าย!F29</f>
        <v>13408421.020000001</v>
      </c>
      <c r="G32" s="40"/>
      <c r="H32" s="29"/>
      <c r="I32" s="82">
        <f>16095657.7</f>
        <v>16095657.7</v>
      </c>
      <c r="J32" s="29"/>
      <c r="K32">
        <f>K30-K31</f>
        <v>313.86</v>
      </c>
    </row>
    <row r="33" spans="1:10" ht="15" customHeight="1" thickTop="1">
      <c r="A33" s="54"/>
      <c r="B33" s="40"/>
      <c r="C33" s="77"/>
      <c r="D33" s="78"/>
      <c r="E33" s="42"/>
      <c r="F33" s="54"/>
      <c r="G33" s="40"/>
      <c r="H33" s="29"/>
      <c r="I33" s="82">
        <f>F32</f>
        <v>13408421.020000001</v>
      </c>
      <c r="J33" s="29"/>
    </row>
    <row r="34" spans="1:10" ht="23.25">
      <c r="A34" s="40" t="s">
        <v>132</v>
      </c>
      <c r="B34" s="40"/>
      <c r="C34" s="41" t="s">
        <v>133</v>
      </c>
      <c r="D34" s="41"/>
      <c r="E34" s="76" t="s">
        <v>134</v>
      </c>
      <c r="F34" s="40"/>
      <c r="G34" s="40"/>
      <c r="H34" s="29"/>
      <c r="I34" s="82">
        <f>I32-I33</f>
        <v>2687236.679999998</v>
      </c>
      <c r="J34" s="29"/>
    </row>
    <row r="35" spans="1:11" ht="23.25">
      <c r="A35" s="338" t="s">
        <v>135</v>
      </c>
      <c r="B35" s="338"/>
      <c r="C35" s="338" t="s">
        <v>136</v>
      </c>
      <c r="D35" s="338"/>
      <c r="E35" s="338" t="s">
        <v>137</v>
      </c>
      <c r="F35" s="339"/>
      <c r="G35" s="339"/>
      <c r="H35" s="29"/>
      <c r="I35" s="29"/>
      <c r="J35" s="29"/>
      <c r="K35" s="84"/>
    </row>
    <row r="36" spans="1:13" ht="23.25">
      <c r="A36" s="338" t="s">
        <v>138</v>
      </c>
      <c r="B36" s="338"/>
      <c r="C36" s="338" t="s">
        <v>139</v>
      </c>
      <c r="D36" s="338"/>
      <c r="E36" s="338" t="s">
        <v>140</v>
      </c>
      <c r="F36" s="338"/>
      <c r="G36" s="338"/>
      <c r="H36" s="29"/>
      <c r="I36" s="29"/>
      <c r="J36" s="29"/>
      <c r="K36" s="84"/>
      <c r="M36" s="83"/>
    </row>
    <row r="37" spans="1:13" ht="23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83"/>
      <c r="M37" s="83"/>
    </row>
    <row r="38" spans="1:10" ht="23.25">
      <c r="A38" s="29"/>
      <c r="B38" s="29"/>
      <c r="C38" s="29"/>
      <c r="D38" s="29"/>
      <c r="E38" s="29"/>
      <c r="F38" s="29"/>
      <c r="G38" s="29"/>
      <c r="H38" s="29"/>
      <c r="I38" s="29"/>
      <c r="J38" s="29"/>
    </row>
  </sheetData>
  <sheetProtection/>
  <mergeCells count="10">
    <mergeCell ref="E35:G35"/>
    <mergeCell ref="A36:B36"/>
    <mergeCell ref="C36:D36"/>
    <mergeCell ref="E36:G36"/>
    <mergeCell ref="A35:B35"/>
    <mergeCell ref="C35:D35"/>
    <mergeCell ref="A1:B1"/>
    <mergeCell ref="C29:D29"/>
    <mergeCell ref="C30:D30"/>
    <mergeCell ref="C32:D3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2">
      <selection activeCell="G35" sqref="G35"/>
    </sheetView>
  </sheetViews>
  <sheetFormatPr defaultColWidth="9.140625" defaultRowHeight="12.75"/>
  <cols>
    <col min="1" max="1" width="9.57421875" style="0" bestFit="1" customWidth="1"/>
    <col min="2" max="2" width="16.8515625" style="0" customWidth="1"/>
    <col min="3" max="3" width="22.421875" style="0" customWidth="1"/>
    <col min="4" max="4" width="18.421875" style="0" customWidth="1"/>
    <col min="5" max="5" width="25.28125" style="0" customWidth="1"/>
    <col min="7" max="8" width="13.8515625" style="0" bestFit="1" customWidth="1"/>
    <col min="9" max="9" width="9.28125" style="0" bestFit="1" customWidth="1"/>
    <col min="11" max="11" width="14.00390625" style="0" bestFit="1" customWidth="1"/>
  </cols>
  <sheetData>
    <row r="1" spans="1:8" ht="23.25">
      <c r="A1" s="221" t="s">
        <v>141</v>
      </c>
      <c r="B1" s="222"/>
      <c r="C1" s="223"/>
      <c r="D1" s="221" t="s">
        <v>142</v>
      </c>
      <c r="E1" s="224"/>
      <c r="F1" s="29"/>
      <c r="G1" s="29">
        <v>53568.98</v>
      </c>
      <c r="H1" s="29"/>
    </row>
    <row r="2" spans="1:8" ht="23.25">
      <c r="A2" s="225" t="s">
        <v>143</v>
      </c>
      <c r="B2" s="226"/>
      <c r="C2" s="227"/>
      <c r="D2" s="225" t="s">
        <v>223</v>
      </c>
      <c r="E2" s="228"/>
      <c r="F2" s="29"/>
      <c r="G2" s="29">
        <v>41456.18</v>
      </c>
      <c r="H2" s="29"/>
    </row>
    <row r="3" spans="1:8" ht="23.25">
      <c r="A3" s="229"/>
      <c r="B3" s="230"/>
      <c r="C3" s="231"/>
      <c r="D3" s="232"/>
      <c r="E3" s="233" t="s">
        <v>144</v>
      </c>
      <c r="F3" s="29"/>
      <c r="G3" s="29">
        <v>284000</v>
      </c>
      <c r="H3" s="29"/>
    </row>
    <row r="4" spans="1:8" ht="11.25" customHeight="1">
      <c r="A4" s="112"/>
      <c r="B4" s="234"/>
      <c r="C4" s="235"/>
      <c r="D4" s="114"/>
      <c r="E4" s="236"/>
      <c r="F4" s="29"/>
      <c r="G4" s="29">
        <v>81500</v>
      </c>
      <c r="H4" s="29"/>
    </row>
    <row r="5" spans="1:8" ht="23.25">
      <c r="A5" s="237" t="s">
        <v>242</v>
      </c>
      <c r="B5" s="238"/>
      <c r="C5" s="239"/>
      <c r="D5" s="240"/>
      <c r="E5" s="241">
        <v>8771315.67</v>
      </c>
      <c r="F5" s="29"/>
      <c r="G5" s="29">
        <v>34596.39</v>
      </c>
      <c r="H5" s="29"/>
    </row>
    <row r="6" spans="1:8" ht="23.25">
      <c r="A6" s="112" t="s">
        <v>145</v>
      </c>
      <c r="B6" s="234"/>
      <c r="C6" s="235"/>
      <c r="D6" s="114"/>
      <c r="E6" s="236"/>
      <c r="F6" s="29"/>
      <c r="G6" s="29">
        <v>63836.37</v>
      </c>
      <c r="H6" s="29"/>
    </row>
    <row r="7" spans="1:8" ht="23.25">
      <c r="A7" s="242"/>
      <c r="B7" s="243" t="s">
        <v>146</v>
      </c>
      <c r="C7" s="244" t="s">
        <v>147</v>
      </c>
      <c r="D7" s="245" t="s">
        <v>148</v>
      </c>
      <c r="E7" s="246"/>
      <c r="F7" s="29"/>
      <c r="G7" s="29">
        <v>275974</v>
      </c>
      <c r="H7" s="29"/>
    </row>
    <row r="8" spans="1:8" ht="23.25">
      <c r="A8" s="242"/>
      <c r="B8" s="243"/>
      <c r="C8" s="244"/>
      <c r="D8" s="245"/>
      <c r="E8" s="246"/>
      <c r="F8" s="29"/>
      <c r="G8" s="29">
        <v>258240</v>
      </c>
      <c r="H8" s="29"/>
    </row>
    <row r="9" spans="1:8" ht="23.25">
      <c r="A9" s="112"/>
      <c r="B9" s="247"/>
      <c r="C9" s="247"/>
      <c r="D9" s="248"/>
      <c r="E9" s="236"/>
      <c r="F9" s="29"/>
      <c r="G9" s="29">
        <f>SUM(G1:G8)</f>
        <v>1093171.92</v>
      </c>
      <c r="H9" s="29"/>
    </row>
    <row r="10" spans="1:8" ht="23.25">
      <c r="A10" s="112" t="s">
        <v>149</v>
      </c>
      <c r="B10" s="234"/>
      <c r="C10" s="235"/>
      <c r="D10" s="114"/>
      <c r="E10" s="236"/>
      <c r="F10" s="29"/>
      <c r="G10" s="32"/>
      <c r="H10" s="29"/>
    </row>
    <row r="11" spans="1:8" ht="23.25">
      <c r="A11" s="249"/>
      <c r="B11" s="247" t="s">
        <v>150</v>
      </c>
      <c r="C11" s="247" t="s">
        <v>151</v>
      </c>
      <c r="D11" s="248" t="s">
        <v>148</v>
      </c>
      <c r="E11" s="250"/>
      <c r="F11" s="29"/>
      <c r="G11" s="32"/>
      <c r="H11" s="29">
        <v>504187.92</v>
      </c>
    </row>
    <row r="12" spans="1:8" ht="23.25">
      <c r="A12" s="112"/>
      <c r="B12" s="251">
        <v>238701</v>
      </c>
      <c r="C12" s="252" t="s">
        <v>152</v>
      </c>
      <c r="D12" s="250">
        <v>930</v>
      </c>
      <c r="E12" s="253"/>
      <c r="F12" s="29"/>
      <c r="G12" s="32"/>
      <c r="H12" s="29">
        <v>339740</v>
      </c>
    </row>
    <row r="13" spans="1:8" ht="23.25">
      <c r="A13" s="112"/>
      <c r="B13" s="251">
        <v>235327</v>
      </c>
      <c r="C13" s="252" t="s">
        <v>225</v>
      </c>
      <c r="D13" s="250">
        <v>1000</v>
      </c>
      <c r="E13" s="253"/>
      <c r="F13" s="29"/>
      <c r="G13" s="32"/>
      <c r="H13" s="29">
        <v>249244</v>
      </c>
    </row>
    <row r="14" spans="1:8" ht="23.25">
      <c r="A14" s="112"/>
      <c r="B14" s="251">
        <v>235453</v>
      </c>
      <c r="C14" s="252" t="s">
        <v>238</v>
      </c>
      <c r="D14" s="250">
        <v>1050</v>
      </c>
      <c r="E14" s="253"/>
      <c r="F14" s="29"/>
      <c r="G14" s="32"/>
      <c r="H14" s="29">
        <f>SUM(H11:H13)</f>
        <v>1093171.92</v>
      </c>
    </row>
    <row r="15" spans="1:8" ht="23.25">
      <c r="A15" s="112"/>
      <c r="B15" s="251">
        <v>239108</v>
      </c>
      <c r="C15" s="252" t="s">
        <v>239</v>
      </c>
      <c r="D15" s="247">
        <v>26800</v>
      </c>
      <c r="E15" s="254"/>
      <c r="F15" s="29"/>
      <c r="G15" s="32"/>
      <c r="H15" s="29"/>
    </row>
    <row r="16" spans="1:8" ht="23.25">
      <c r="A16" s="112"/>
      <c r="B16" s="251"/>
      <c r="C16" s="252"/>
      <c r="D16" s="247"/>
      <c r="E16" s="254"/>
      <c r="F16" s="29"/>
      <c r="G16" s="32"/>
      <c r="H16" s="29"/>
    </row>
    <row r="17" spans="1:8" ht="23.25">
      <c r="A17" s="112"/>
      <c r="B17" s="251"/>
      <c r="C17" s="252"/>
      <c r="D17" s="247"/>
      <c r="E17" s="254"/>
      <c r="F17" s="29"/>
      <c r="G17" s="32"/>
      <c r="H17" s="29"/>
    </row>
    <row r="18" spans="1:8" ht="23.25">
      <c r="A18" s="112"/>
      <c r="B18" s="270"/>
      <c r="C18" s="252"/>
      <c r="D18" s="247"/>
      <c r="E18" s="254"/>
      <c r="F18" s="29"/>
      <c r="G18" s="29"/>
      <c r="H18" s="29"/>
    </row>
    <row r="19" spans="1:8" ht="23.25">
      <c r="A19" s="112"/>
      <c r="B19" s="251"/>
      <c r="C19" s="252"/>
      <c r="D19" s="247"/>
      <c r="E19" s="254">
        <f>D12+D13+D14+D15+D16+D17+D18+D19</f>
        <v>29780</v>
      </c>
      <c r="F19" s="29"/>
      <c r="G19" s="29">
        <f>9138605.7-9099522.7</f>
        <v>39083</v>
      </c>
      <c r="H19" s="29"/>
    </row>
    <row r="20" spans="1:8" ht="23.25">
      <c r="A20" s="112"/>
      <c r="B20" s="251"/>
      <c r="C20" s="252"/>
      <c r="D20" s="247"/>
      <c r="E20" s="254"/>
      <c r="F20" s="29"/>
      <c r="G20" s="29"/>
      <c r="H20" s="29"/>
    </row>
    <row r="21" spans="1:8" ht="23.25">
      <c r="A21" s="112"/>
      <c r="B21" s="251"/>
      <c r="C21" s="252"/>
      <c r="D21" s="247"/>
      <c r="E21" s="254"/>
      <c r="F21" s="29"/>
      <c r="G21" s="29"/>
      <c r="H21" s="29"/>
    </row>
    <row r="22" spans="1:11" ht="23.25">
      <c r="A22" s="112"/>
      <c r="B22" s="251"/>
      <c r="C22" s="252"/>
      <c r="D22" s="247"/>
      <c r="E22" s="254"/>
      <c r="F22" s="29"/>
      <c r="G22" s="29"/>
      <c r="H22" s="29"/>
      <c r="K22" s="84">
        <v>12876558.54</v>
      </c>
    </row>
    <row r="23" spans="1:11" ht="23.25">
      <c r="A23" s="112"/>
      <c r="B23" s="251"/>
      <c r="C23" s="252"/>
      <c r="D23" s="247"/>
      <c r="E23" s="254"/>
      <c r="F23" s="29"/>
      <c r="G23" s="29"/>
      <c r="H23" s="32"/>
      <c r="K23" s="84"/>
    </row>
    <row r="24" spans="1:11" ht="23.25">
      <c r="A24" s="112"/>
      <c r="B24" s="251"/>
      <c r="C24" s="252"/>
      <c r="D24" s="247"/>
      <c r="E24" s="254"/>
      <c r="F24" s="29"/>
      <c r="G24" s="29"/>
      <c r="H24" s="82"/>
      <c r="K24" s="84"/>
    </row>
    <row r="25" spans="1:8" ht="23.25">
      <c r="A25" s="112" t="s">
        <v>153</v>
      </c>
      <c r="B25" s="255"/>
      <c r="C25" s="256"/>
      <c r="D25" s="247"/>
      <c r="E25" s="115"/>
      <c r="F25" s="29"/>
      <c r="G25" s="29"/>
      <c r="H25" s="29">
        <f>H23-H24</f>
        <v>0</v>
      </c>
    </row>
    <row r="26" spans="1:8" ht="23.25">
      <c r="A26" s="112"/>
      <c r="B26" s="255"/>
      <c r="C26" s="247" t="s">
        <v>154</v>
      </c>
      <c r="D26" s="250"/>
      <c r="E26" s="236"/>
      <c r="F26" s="29"/>
      <c r="G26" s="29"/>
      <c r="H26" s="29"/>
    </row>
    <row r="27" spans="1:8" ht="23.25">
      <c r="A27" s="257"/>
      <c r="B27" s="258"/>
      <c r="C27" s="258"/>
      <c r="D27" s="250"/>
      <c r="E27" s="236">
        <v>0</v>
      </c>
      <c r="F27" s="29"/>
      <c r="G27" s="29"/>
      <c r="H27" s="32">
        <v>12877111.2</v>
      </c>
    </row>
    <row r="28" spans="1:9" ht="24" thickBot="1">
      <c r="A28" s="259" t="s">
        <v>243</v>
      </c>
      <c r="B28" s="260"/>
      <c r="C28" s="261"/>
      <c r="D28" s="262"/>
      <c r="E28" s="263">
        <f>E5-E19</f>
        <v>8741535.67</v>
      </c>
      <c r="F28" s="29"/>
      <c r="G28" s="29"/>
      <c r="H28" s="82">
        <v>12897252.51</v>
      </c>
      <c r="I28" s="83">
        <f>E28-H27</f>
        <v>-4135575.5299999993</v>
      </c>
    </row>
    <row r="29" spans="1:8" ht="24" thickTop="1">
      <c r="A29" s="343" t="s">
        <v>155</v>
      </c>
      <c r="B29" s="344"/>
      <c r="C29" s="345"/>
      <c r="D29" s="343" t="s">
        <v>156</v>
      </c>
      <c r="E29" s="346"/>
      <c r="F29" s="29"/>
      <c r="G29" s="29"/>
      <c r="H29" s="82">
        <f>H28-H27</f>
        <v>20141.31000000052</v>
      </c>
    </row>
    <row r="30" spans="1:8" ht="23.25">
      <c r="A30" s="265"/>
      <c r="B30" s="266"/>
      <c r="C30" s="264"/>
      <c r="D30" s="265"/>
      <c r="E30" s="264"/>
      <c r="F30" s="29"/>
      <c r="G30" s="29"/>
      <c r="H30" s="29"/>
    </row>
    <row r="31" spans="1:8" ht="23.25">
      <c r="A31" s="267" t="s">
        <v>157</v>
      </c>
      <c r="B31" s="268"/>
      <c r="C31" s="269" t="s">
        <v>244</v>
      </c>
      <c r="D31" s="249" t="s">
        <v>213</v>
      </c>
      <c r="E31" s="269" t="str">
        <f>C31</f>
        <v>วันที่ ๓๐  กันยายน ๒๕๕๔</v>
      </c>
      <c r="F31" s="29"/>
      <c r="G31" s="29"/>
      <c r="H31" s="29"/>
    </row>
    <row r="32" spans="1:8" ht="23.25">
      <c r="A32" s="347" t="s">
        <v>158</v>
      </c>
      <c r="B32" s="348"/>
      <c r="C32" s="349"/>
      <c r="D32" s="347" t="s">
        <v>135</v>
      </c>
      <c r="E32" s="349"/>
      <c r="F32" s="29"/>
      <c r="G32" s="29"/>
      <c r="H32" s="29"/>
    </row>
    <row r="33" spans="1:8" ht="23.25">
      <c r="A33" s="340" t="s">
        <v>186</v>
      </c>
      <c r="B33" s="341"/>
      <c r="C33" s="342"/>
      <c r="D33" s="340" t="s">
        <v>159</v>
      </c>
      <c r="E33" s="342"/>
      <c r="F33" s="29"/>
      <c r="G33" s="29"/>
      <c r="H33" s="79" t="s">
        <v>218</v>
      </c>
    </row>
    <row r="34" spans="1:8" ht="23.25">
      <c r="A34" s="29"/>
      <c r="B34" s="29"/>
      <c r="C34" s="29"/>
      <c r="D34" s="29"/>
      <c r="E34" s="29"/>
      <c r="F34" s="29"/>
      <c r="G34" s="29"/>
      <c r="H34" s="29"/>
    </row>
  </sheetData>
  <sheetProtection/>
  <mergeCells count="6">
    <mergeCell ref="A33:C33"/>
    <mergeCell ref="D33:E33"/>
    <mergeCell ref="A29:C29"/>
    <mergeCell ref="D29:E29"/>
    <mergeCell ref="A32:C32"/>
    <mergeCell ref="D32:E3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2011-09-30T10:25:38Z</cp:lastPrinted>
  <dcterms:created xsi:type="dcterms:W3CDTF">2010-10-11T07:44:50Z</dcterms:created>
  <dcterms:modified xsi:type="dcterms:W3CDTF">2011-09-30T10:26:02Z</dcterms:modified>
  <cp:category/>
  <cp:version/>
  <cp:contentType/>
  <cp:contentStatus/>
</cp:coreProperties>
</file>